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Assumptions" sheetId="2" state="visible" r:id="rId4"/>
    <sheet name="Segments" sheetId="3" state="visible" r:id="rId5"/>
    <sheet name="Valuation" sheetId="4" state="visible" r:id="rId6"/>
    <sheet name="Scenarios" sheetId="5" state="visible" r:id="rId7"/>
    <sheet name="Sensitivity" sheetId="6" state="visible" r:id="rId8"/>
    <sheet name="Orbit" sheetId="7" state="visible" r:id="rId9"/>
    <sheet name="Peers" sheetId="8" state="visible" r:id="rId10"/>
    <sheet name="Source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<sst xmlns="http://schemas.openxmlformats.org/spreadsheetml/2006/main" count="336" uniqueCount="275">
  <si>
    <t xml:space="preserve">SPACEX (SPACE EXPLORATION TECHNOLOGIES CORP., NASDAQ: SPCX)  INITIATION MODEL</t>
  </si>
  <si>
    <t xml:space="preserve">Tommy Lau | SpaceX (Nasdaq: SPCX) | 2 November 2026 | Personal research, not investment advice.</t>
  </si>
  <si>
    <t xml:space="preserve">Call</t>
  </si>
  <si>
    <t xml:space="preserve">NO CALL, medium conviction (Tommy Lau, 2 November 2026)</t>
  </si>
  <si>
    <t xml:space="preserve">Price</t>
  </si>
  <si>
    <t xml:space="preserve">Base value per share</t>
  </si>
  <si>
    <t xml:space="preserve">Base against the price</t>
  </si>
  <si>
    <t xml:space="preserve">Band</t>
  </si>
  <si>
    <t xml:space="preserve">Probability-weighted value</t>
  </si>
  <si>
    <t xml:space="preserve">Left above the three businesses, US$m</t>
  </si>
  <si>
    <t xml:space="preserve">  share of enterprise value</t>
  </si>
  <si>
    <t xml:space="preserve">AI1 kW per ton against the 100 target</t>
  </si>
  <si>
    <t xml:space="preserve">Launch revenue per kg, 9M 2026, US$</t>
  </si>
  <si>
    <t xml:space="preserve">Tabs: Assumptions (inputs; yellow = mine), Segments, Valuation (sum of the parts and the gap), Scenarios, Sensitivity,</t>
  </si>
  <si>
    <t xml:space="preserve">Orbit (the claim's two tests in SpaceX's own figures), Peers, Sources. All figures US$ million unless stated.</t>
  </si>
  <si>
    <t xml:space="preserve">ASSUMPTIONS AND INPUTS</t>
  </si>
  <si>
    <t xml:space="preserve">Blue = hardcoded input. Yellow fill = my own assumption (change these to move the value). Green = link to another tab. Black = formula. US$ million unless stated.</t>
  </si>
  <si>
    <t xml:space="preserve">Input</t>
  </si>
  <si>
    <t xml:space="preserve">Value</t>
  </si>
  <si>
    <t xml:space="preserve">Unit</t>
  </si>
  <si>
    <t xml:space="preserve">Source / note</t>
  </si>
  <si>
    <t xml:space="preserve">MARKET AND BALANCE SHEET</t>
  </si>
  <si>
    <t xml:space="preserve">Reference share price</t>
  </si>
  <si>
    <t xml:space="preserve">US$</t>
  </si>
  <si>
    <t xml:space="preserve">Nasdaq close, 30 October 2026. Yahoo Finance SPCX history page, read 2 November 2026.</t>
  </si>
  <si>
    <t xml:space="preserve">IPO price</t>
  </si>
  <si>
    <t xml:space="preserve">Final prospectus (424B4), 12 June 2026.</t>
  </si>
  <si>
    <t xml:space="preserve">Highest close, 16 June 2026</t>
  </si>
  <si>
    <t xml:space="preserve">Yahoo Finance; intraday high US$225.64 the same day.</t>
  </si>
  <si>
    <t xml:space="preserve">Class A shares outstanding, 15 October 2026</t>
  </si>
  <si>
    <t xml:space="preserve">m</t>
  </si>
  <si>
    <t xml:space="preserve">Form 10-Q, quarter to 30 September 2026, filed 22 October 2026, cover: 8,246,541,218.</t>
  </si>
  <si>
    <t xml:space="preserve">Class B shares outstanding, 15 October 2026</t>
  </si>
  <si>
    <t xml:space="preserve">Form 10-Q, quarter to 30 September 2026, filed 22 October 2026, cover: 5,334,522,491.</t>
  </si>
  <si>
    <t xml:space="preserve">Cash and cash equivalents, 30 September 2026</t>
  </si>
  <si>
    <t xml:space="preserve">US$m</t>
  </si>
  <si>
    <t xml:space="preserve">Results release, 8-K Exhibit 99.1, 20 October 2026, balance sheet.</t>
  </si>
  <si>
    <t xml:space="preserve">Marketable securities, 30 September 2026</t>
  </si>
  <si>
    <t xml:space="preserve">Results release, 8-K Exhibit 99.1, 20 October 2026.</t>
  </si>
  <si>
    <t xml:space="preserve">Debt and finance leases, current</t>
  </si>
  <si>
    <t xml:space="preserve">Debt and finance leases, non-current</t>
  </si>
  <si>
    <t xml:space="preserve">CONSENSUS (YAHOO FINANCE, READ 2 NOVEMBER 2026)</t>
  </si>
  <si>
    <t xml:space="preserve">Revenue consensus, 2026</t>
  </si>
  <si>
    <t xml:space="preserve">35 analysts.</t>
  </si>
  <si>
    <t xml:space="preserve">Revenue consensus, 2027</t>
  </si>
  <si>
    <t xml:space="preserve">37 analysts; range US$71.75bn to US$290.06bn.</t>
  </si>
  <si>
    <t xml:space="preserve">EPS consensus, 2027</t>
  </si>
  <si>
    <t xml:space="preserve">33 analysts; range US$0.34 to US$13.49.</t>
  </si>
  <si>
    <t xml:space="preserve">Average analyst target</t>
  </si>
  <si>
    <t xml:space="preserve">stockanalysis.com, 39 analysts, 2 November 2026; low US$70, high US$800. Cross-check only.</t>
  </si>
  <si>
    <t xml:space="preserve">MY ASSUMPTIONS: FOURTH QUARTER 2026</t>
  </si>
  <si>
    <t xml:space="preserve">Space (launch) revenue, Q4 2026E</t>
  </si>
  <si>
    <t xml:space="preserve">MY ASSUMPTION. Consensus total Q4 revenue US$22.92bn (Yahoo).</t>
  </si>
  <si>
    <t xml:space="preserve">Space (launch) Segment Adjusted EBITDA, Q4 2026E</t>
  </si>
  <si>
    <t xml:space="preserve">MY ASSUMPTION.</t>
  </si>
  <si>
    <t xml:space="preserve">Connectivity (Starlink) revenue, Q4 2026E</t>
  </si>
  <si>
    <t xml:space="preserve">Connectivity (Starlink) Segment Adjusted EBITDA, Q4 2026E</t>
  </si>
  <si>
    <t xml:space="preserve">Super Intelligence (SI) revenue, Q4 2026E</t>
  </si>
  <si>
    <t xml:space="preserve">Super Intelligence (SI) Segment Adjusted EBITDA, Q4 2026E</t>
  </si>
  <si>
    <t xml:space="preserve">MY ASSUMPTIONS: 2027</t>
  </si>
  <si>
    <t xml:space="preserve">Space (launch) revenue, 2027E</t>
  </si>
  <si>
    <t xml:space="preserve">MY ASSUMPTION. Falcon pipeline plus early Starship customer work.</t>
  </si>
  <si>
    <t xml:space="preserve">Space (launch) Segment Adjusted EBITDA margin, 2027E</t>
  </si>
  <si>
    <t xml:space="preserve">%</t>
  </si>
  <si>
    <t xml:space="preserve">MY ASSUMPTION. Not used in the base value (Space is valued on revenue).</t>
  </si>
  <si>
    <t xml:space="preserve">Multiple, Space (launch)</t>
  </si>
  <si>
    <t xml:space="preserve">x</t>
  </si>
  <si>
    <t xml:space="preserve">MY ASSUMPTION. EV / 2027E revenue. Rocket Lab 39.7x trailing EV/sales.</t>
  </si>
  <si>
    <t xml:space="preserve">Connectivity (Starlink) revenue, 2027E</t>
  </si>
  <si>
    <t xml:space="preserve">MY ASSUMPTION. About 40% growth on 2026E; Q3 2026 grew 69% year on year.</t>
  </si>
  <si>
    <t xml:space="preserve">Connectivity (Starlink) Segment Adjusted EBITDA margin, 2027E</t>
  </si>
  <si>
    <t xml:space="preserve">MY ASSUMPTION. Q3 2026: 66.7%.</t>
  </si>
  <si>
    <t xml:space="preserve">Multiple, Connectivity (Starlink)</t>
  </si>
  <si>
    <t xml:space="preserve">MY ASSUMPTION. EV / 2027E Segment Adjusted EBITDA. T-Mobile US 7.9x trailing.</t>
  </si>
  <si>
    <t xml:space="preserve">Super Intelligence (SI) revenue, 2027E</t>
  </si>
  <si>
    <t xml:space="preserve">MY ASSUMPTION. Q1 2027 guide for the whole company US$33bn to 37bn; consensus implies about US$148bn for SI.</t>
  </si>
  <si>
    <t xml:space="preserve">Super Intelligence (SI) Segment Adjusted EBITDA margin, 2027E</t>
  </si>
  <si>
    <t xml:space="preserve">MY ASSUMPTION. Q2 2026 44.7%, Q3 2026 65.5% (CFO expects Q4 company gross margin nearer Q2, citing Q3 one-time benefits and customer mix).</t>
  </si>
  <si>
    <t xml:space="preserve">Multiple, Super Intelligence (SI)</t>
  </si>
  <si>
    <t xml:space="preserve">MY ASSUMPTION. EV / 2027E Segment Adjusted EBITDA. CoreWeave 20.1x, Oracle 15.3x trailing.</t>
  </si>
  <si>
    <t xml:space="preserve">Value of options not in the three segments (Starship beyond launch, orbital compute, spectrum, Terafab)</t>
  </si>
  <si>
    <t xml:space="preserve">MY ASSUMPTION. Base case.</t>
  </si>
  <si>
    <t xml:space="preserve">SI nameplate compute, end 2027</t>
  </si>
  <si>
    <t xml:space="preserve">GW</t>
  </si>
  <si>
    <t xml:space="preserve">Elon Musk, Q3 call, 20 October 2026: surprised by less than 13 GW. Used only to express the gap in gigawatts.</t>
  </si>
  <si>
    <t xml:space="preserve">ORBITAL COMPUTE, AS SPACEX STATES IT</t>
  </si>
  <si>
    <t xml:space="preserve">Target, compute power per metric ton launched</t>
  </si>
  <si>
    <t xml:space="preserve">kW/t</t>
  </si>
  <si>
    <t xml:space="preserve">424B4, 12 June 2026.</t>
  </si>
  <si>
    <t xml:space="preserve">AI1 vehicle efficiency</t>
  </si>
  <si>
    <t xml:space="preserve">kW/ton</t>
  </si>
  <si>
    <t xml:space="preserve">SpaceX Starmind page, spacex.com/spacexsi/starmind, read 2 November 2026: "75 kW / ton"; the page does not say compute or solar, or which ton. Treated here as compute per metric ton.</t>
  </si>
  <si>
    <t xml:space="preserve">AI1 compute payload, average</t>
  </si>
  <si>
    <t xml:space="preserve">kW</t>
  </si>
  <si>
    <t xml:space="preserve">Starmind page: up to 250 kW peak, 175 kW average.</t>
  </si>
  <si>
    <t xml:space="preserve">AI1 deployable liquid radiator</t>
  </si>
  <si>
    <t xml:space="preserve">m2</t>
  </si>
  <si>
    <t xml:space="preserve">Starmind page.</t>
  </si>
  <si>
    <t xml:space="preserve">AI1 solar array</t>
  </si>
  <si>
    <t xml:space="preserve">Starmind page, at 250 W/m2.</t>
  </si>
  <si>
    <t xml:space="preserve">Solar power density</t>
  </si>
  <si>
    <t xml:space="preserve">W/m2</t>
  </si>
  <si>
    <t xml:space="preserve">Space station radiator areal density</t>
  </si>
  <si>
    <t xml:space="preserve">kg/m2</t>
  </si>
  <si>
    <t xml:space="preserve">NASA, IEEE Aerospace 2022 (as cited in the journal piece).</t>
  </si>
  <si>
    <t xml:space="preserve">SpaceX mass to orbit, 2025</t>
  </si>
  <si>
    <t xml:space="preserve">t</t>
  </si>
  <si>
    <t xml:space="preserve">424B4, segment data.</t>
  </si>
  <si>
    <t xml:space="preserve">Claim's launch price test</t>
  </si>
  <si>
    <t xml:space="preserve">US$/kg</t>
  </si>
  <si>
    <t xml:space="preserve">Journal piece claim, Google's threshold.</t>
  </si>
  <si>
    <t xml:space="preserve">SEGMENTS: REVENUE AND SEGMENT ADJUSTED EBITDA (US$ MILLION)</t>
  </si>
  <si>
    <t xml:space="preserve">2024</t>
  </si>
  <si>
    <t xml:space="preserve">2025</t>
  </si>
  <si>
    <t xml:space="preserve">9M 2026</t>
  </si>
  <si>
    <t xml:space="preserve">Q4 2026E*</t>
  </si>
  <si>
    <t xml:space="preserve">2026E*</t>
  </si>
  <si>
    <t xml:space="preserve">2027E*</t>
  </si>
  <si>
    <t xml:space="preserve">Growth 27E</t>
  </si>
  <si>
    <t xml:space="preserve">Space (launch) revenue</t>
  </si>
  <si>
    <t xml:space="preserve">Space (launch) Segment Adjusted EBITDA</t>
  </si>
  <si>
    <t xml:space="preserve">  margin</t>
  </si>
  <si>
    <t xml:space="preserve">Connectivity (Starlink) revenue</t>
  </si>
  <si>
    <t xml:space="preserve">Connectivity (Starlink) Segment Adjusted EBITDA</t>
  </si>
  <si>
    <t xml:space="preserve">Super Intelligence (SI) revenue</t>
  </si>
  <si>
    <t xml:space="preserve">Super Intelligence (SI) Segment Adjusted EBITDA</t>
  </si>
  <si>
    <t xml:space="preserve">Total revenue</t>
  </si>
  <si>
    <t xml:space="preserve">Total of Segment Adjusted EBITDA</t>
  </si>
  <si>
    <t xml:space="preserve">Reported total revenue (check = 0)</t>
  </si>
  <si>
    <t xml:space="preserve">2026E revenue against consensus</t>
  </si>
  <si>
    <t xml:space="preserve">2027E revenue against consensus</t>
  </si>
  <si>
    <t xml:space="preserve">Quarters (8-K results releases)</t>
  </si>
  <si>
    <t xml:space="preserve">US$ million</t>
  </si>
  <si>
    <t xml:space="preserve">Q3 25</t>
  </si>
  <si>
    <t xml:space="preserve">Q1 26</t>
  </si>
  <si>
    <t xml:space="preserve">Q2 26</t>
  </si>
  <si>
    <t xml:space="preserve">Q3 26</t>
  </si>
  <si>
    <t xml:space="preserve">SI margin, Q2 and Q3 2026</t>
  </si>
  <si>
    <t xml:space="preserve">Connectivity margin, Q3 2026</t>
  </si>
  <si>
    <t xml:space="preserve">*Q4 2026E, 2026E and 2027E are my own estimates. 2024 and 2025 from the 424B4 (2024 segment revenue derived from 2025 less the reported 2025 increase).</t>
  </si>
  <si>
    <t xml:space="preserve">9M 2026 from the 20 October 2026 release. Segment Adjusted EBITDA is SpaceX's non-GAAP measure. SI was reported as the AI segment until Q3 2026.</t>
  </si>
  <si>
    <t xml:space="preserve">Q1 2026 from the 424B4; Q2 2026 from the 4 August 2026 release; Q3 2025 and Q3 2026 from the 20 October 2026 release.</t>
  </si>
  <si>
    <t xml:space="preserve">SUM OF THE PARTS AND WHAT THE PRICE LEAVES</t>
  </si>
  <si>
    <t xml:space="preserve">Part</t>
  </si>
  <si>
    <t xml:space="preserve">2027E basis, US$m</t>
  </si>
  <si>
    <t xml:space="preserve">Multiple</t>
  </si>
  <si>
    <t xml:space="preserve">Value, US$m</t>
  </si>
  <si>
    <t xml:space="preserve">Share</t>
  </si>
  <si>
    <t xml:space="preserve">Per share, US$</t>
  </si>
  <si>
    <t xml:space="preserve">Connectivity (Starlink), 2027E Segment Adjusted EBITDA</t>
  </si>
  <si>
    <t xml:space="preserve">Super Intelligence, 2027E Segment Adjusted EBITDA</t>
  </si>
  <si>
    <t xml:space="preserve">Space (launch), 2027E revenue</t>
  </si>
  <si>
    <t xml:space="preserve">Three businesses, enterprise value</t>
  </si>
  <si>
    <t xml:space="preserve">Net cash: cash + marketable securities - debt and finance leases, 30 September 2026</t>
  </si>
  <si>
    <t xml:space="preserve">Options not in the three segments, including orbital compute (MY ASSUMPTION)</t>
  </si>
  <si>
    <t xml:space="preserve">Equity value, base</t>
  </si>
  <si>
    <t xml:space="preserve">Shares outstanding, Class A + Class B, 15 October 2026 (m)</t>
  </si>
  <si>
    <t xml:space="preserve">Three businesses plus net cash only, per share</t>
  </si>
  <si>
    <t xml:space="preserve">Base value against the price</t>
  </si>
  <si>
    <t xml:space="preserve">Band (LONG if +15% or more, SHORT if -25% or less)</t>
  </si>
  <si>
    <t xml:space="preserve">WHAT THE PRICE LEAVES</t>
  </si>
  <si>
    <t xml:space="preserve">Market value at the price, US$m</t>
  </si>
  <si>
    <t xml:space="preserve">Enterprise value at the price (market value less net cash), US$m</t>
  </si>
  <si>
    <t xml:space="preserve">  as a share of enterprise value</t>
  </si>
  <si>
    <t xml:space="preserve">  per share, US$</t>
  </si>
  <si>
    <t xml:space="preserve">Left after the options I credit, US$m</t>
  </si>
  <si>
    <t xml:space="preserve">SI value per gigawatt of end-2027 nameplate compute, US$m</t>
  </si>
  <si>
    <t xml:space="preserve">Gap expressed as orbital gigawatts valued like SI (no discount for time)</t>
  </si>
  <si>
    <t xml:space="preserve">  AI1 satellites at 175 kW average</t>
  </si>
  <si>
    <t xml:space="preserve">  tonnes in orbit at AI1's 75 kW per ton (read as compute per metric ton)</t>
  </si>
  <si>
    <t xml:space="preserve">  tonnes in orbit at the 100 kW per ton target</t>
  </si>
  <si>
    <t xml:space="preserve">  multiple of SpaceX's 2025 mass to orbit (AI1 basis)</t>
  </si>
  <si>
    <t xml:space="preserve">MARKET MULTIPLES AT THE PRICE</t>
  </si>
  <si>
    <t xml:space="preserve">P/E on 2027 consensus EPS</t>
  </si>
  <si>
    <t xml:space="preserve">EV / 2027 consensus revenue</t>
  </si>
  <si>
    <t xml:space="preserve">EV / my 2027E total Segment Adjusted EBITDA</t>
  </si>
  <si>
    <t xml:space="preserve">Price against the IPO price</t>
  </si>
  <si>
    <t xml:space="preserve">Price against the highest close</t>
  </si>
  <si>
    <t xml:space="preserve">Revisit towards a short above (base 25% below)</t>
  </si>
  <si>
    <t xml:space="preserve">Revisit towards a long below (base 15% above)</t>
  </si>
  <si>
    <t xml:space="preserve">Fourth quarter 2026 capital spending (guided US$35bn to 40bn) and the US$40bn Apollo GPU lease (8-K, 26 October 2026) are not deducted:</t>
  </si>
  <si>
    <t xml:space="preserve">both buy the capacity my 2027 estimates assume. Share count excludes options and unvested awards (for example those assumed in the Cursor merger).</t>
  </si>
  <si>
    <t xml:space="preserve">SCENARIOS, TWELVE MONTHS OUT (MY ASSUMPTIONS)</t>
  </si>
  <si>
    <t xml:space="preserve">Bear</t>
  </si>
  <si>
    <t xml:space="preserve">Base</t>
  </si>
  <si>
    <t xml:space="preserve">Bull</t>
  </si>
  <si>
    <t xml:space="preserve">Space (launch) revenue 2027E</t>
  </si>
  <si>
    <t xml:space="preserve">Space (launch) margin</t>
  </si>
  <si>
    <t xml:space="preserve">Space (launch) multiple</t>
  </si>
  <si>
    <t xml:space="preserve">Connectivity (Starlink) revenue 2027E</t>
  </si>
  <si>
    <t xml:space="preserve">Connectivity (Starlink) margin</t>
  </si>
  <si>
    <t xml:space="preserve">Connectivity (Starlink) multiple</t>
  </si>
  <si>
    <t xml:space="preserve">Super Intelligence (SI) revenue 2027E</t>
  </si>
  <si>
    <t xml:space="preserve">Super Intelligence (SI) margin</t>
  </si>
  <si>
    <t xml:space="preserve">Super Intelligence (SI) multiple</t>
  </si>
  <si>
    <t xml:space="preserve">Options, US$m</t>
  </si>
  <si>
    <t xml:space="preserve">Probability</t>
  </si>
  <si>
    <t xml:space="preserve">Enterprise value of the three businesses, US$m</t>
  </si>
  <si>
    <t xml:space="preserve">Value per share, US$</t>
  </si>
  <si>
    <t xml:space="preserve">Change against the price</t>
  </si>
  <si>
    <t xml:space="preserve">Probability-weighted value, US$</t>
  </si>
  <si>
    <t xml:space="preserve">Base check against Valuation tab (= 0)</t>
  </si>
  <si>
    <t xml:space="preserve">Space is valued on revenue in every case; its margin row is shown for completeness. Bear: rented-compute prices fall and</t>
  </si>
  <si>
    <t xml:space="preserve">the ramp slips; no value for options. Bull: SI beats the consensus path and US$300bn is paid for options, orbital compute among them.</t>
  </si>
  <si>
    <t xml:space="preserve">SENSITIVITY: SI 2027E EBITDA AGAINST ITS MULTIPLE (VALUE PER SHARE, US$)</t>
  </si>
  <si>
    <t xml:space="preserve">SI EBITDA, US$m</t>
  </si>
  <si>
    <t xml:space="preserve">10x</t>
  </si>
  <si>
    <t xml:space="preserve">13x</t>
  </si>
  <si>
    <t xml:space="preserve">16x</t>
  </si>
  <si>
    <t xml:space="preserve">Cells above the price</t>
  </si>
  <si>
    <t xml:space="preserve">of 9</t>
  </si>
  <si>
    <t xml:space="preserve">Cells 25% or more below the price</t>
  </si>
  <si>
    <t xml:space="preserve">Cells 15% or more above the price</t>
  </si>
  <si>
    <t xml:space="preserve">Row 3 holds the multiples. Everything else at base: Starlink, Space, net cash and options. The middle row links to my SI 2027E EBITDA.</t>
  </si>
  <si>
    <t xml:space="preserve">ORBITAL COMPUTE AND LAUNCH PRICE: THE CLAIM'S TWO TESTS</t>
  </si>
  <si>
    <t xml:space="preserve">AI1, SpaceX's first AI satellite (Starmind page, read 2 November 2026)</t>
  </si>
  <si>
    <t xml:space="preserve">Vehicle efficiency against the 100 kW per ton target</t>
  </si>
  <si>
    <t xml:space="preserve">Shortfall against the target</t>
  </si>
  <si>
    <t xml:space="preserve">Kilograms launched per kW of compute</t>
  </si>
  <si>
    <t xml:space="preserve">Implied mass on average compute, tonnes (my arithmetic)</t>
  </si>
  <si>
    <t xml:space="preserve">Heat per m2 of radiator if all average compute leaves through it, W/m2</t>
  </si>
  <si>
    <t xml:space="preserve">Radiator mass at the space station's areal density, tonnes</t>
  </si>
  <si>
    <t xml:space="preserve">Solar array area at 250 W/m2, m2</t>
  </si>
  <si>
    <t xml:space="preserve">Launch services revenue per kg of customer payload (8-K releases, my arithmetic)</t>
  </si>
  <si>
    <t xml:space="preserve">US$ million / tonnes</t>
  </si>
  <si>
    <t xml:space="preserve">Q1 25</t>
  </si>
  <si>
    <t xml:space="preserve">Q2 25</t>
  </si>
  <si>
    <t xml:space="preserve">Launch services revenue, US$m</t>
  </si>
  <si>
    <t xml:space="preserve">Customer payload, t</t>
  </si>
  <si>
    <t xml:space="preserve">US$ per kg</t>
  </si>
  <si>
    <t xml:space="preserve">First nine months of 2026, US$ per kg</t>
  </si>
  <si>
    <t xml:space="preserve">  multiple of the claim's US$200 per kg</t>
  </si>
  <si>
    <t xml:space="preserve">Mass for 100 GW a year (424B4: about one million metric tons) / 2025 mass to orbit</t>
  </si>
  <si>
    <t xml:space="preserve">Q1 2025 and Q1 2026 are the half year less the second quarter. Revenue per kg is a mix of missions and orbits, not a list price;</t>
  </si>
  <si>
    <t xml:space="preserve">Starship has flown only internal payloads to date. 9M 2026: US$2,108m for 251 t (20 October 2026 release).</t>
  </si>
  <si>
    <t xml:space="preserve">PEER MULTIPLES (stockanalysis.com, 2 NOVEMBER 2026, TRAILING, AT THE 30 OCTOBER CLOSE)</t>
  </si>
  <si>
    <t xml:space="preserve">Company</t>
  </si>
  <si>
    <t xml:space="preserve">Ticker</t>
  </si>
  <si>
    <t xml:space="preserve">EV, US$bn</t>
  </si>
  <si>
    <t xml:space="preserve">EV/EBITDA</t>
  </si>
  <si>
    <t xml:space="preserve">EV/sales</t>
  </si>
  <si>
    <t xml:space="preserve">What they do</t>
  </si>
  <si>
    <t xml:space="preserve">SpaceX</t>
  </si>
  <si>
    <t xml:space="preserve">SPCX</t>
  </si>
  <si>
    <t xml:space="preserve">n/m</t>
  </si>
  <si>
    <t xml:space="preserve">Launch, Starlink, AI compute and models</t>
  </si>
  <si>
    <t xml:space="preserve">Oracle</t>
  </si>
  <si>
    <t xml:space="preserve">ORCL</t>
  </si>
  <si>
    <t xml:space="preserve">Cloud and AI data centre capacity, software</t>
  </si>
  <si>
    <t xml:space="preserve">CoreWeave</t>
  </si>
  <si>
    <t xml:space="preserve">CRWV</t>
  </si>
  <si>
    <t xml:space="preserve">Rents GPU computing capacity</t>
  </si>
  <si>
    <t xml:space="preserve">Nebius</t>
  </si>
  <si>
    <t xml:space="preserve">NBIS</t>
  </si>
  <si>
    <t xml:space="preserve">T-Mobile US</t>
  </si>
  <si>
    <t xml:space="preserve">TMUS</t>
  </si>
  <si>
    <t xml:space="preserve">Mobile and broadband network</t>
  </si>
  <si>
    <t xml:space="preserve">AST SpaceMobile</t>
  </si>
  <si>
    <t xml:space="preserve">ASTS</t>
  </si>
  <si>
    <t xml:space="preserve">Satellite to phone broadband (pre-revenue scale)</t>
  </si>
  <si>
    <t xml:space="preserve">Rocket Lab</t>
  </si>
  <si>
    <t xml:space="preserve">RKLB</t>
  </si>
  <si>
    <t xml:space="preserve">Small launch and spacecraft</t>
  </si>
  <si>
    <t xml:space="preserve">n/m: EBITDA negative or not meaningful. Multiples only set the ranges for my segment multiples; no view on the peers' shares is expressed.</t>
  </si>
  <si>
    <t xml:space="preserve">SOURCES</t>
  </si>
  <si>
    <t xml:space="preserve">No.</t>
  </si>
  <si>
    <t xml:space="preserve">Source and what it supports</t>
  </si>
  <si>
    <t xml:space="preserve">SpaceX final prospectus, Form 424B4, 12 June 2026 (SEC EDGAR, CIK 1181412): IPO terms, 2023 to 2025 and Q1 2026 results and segment data, lock-up schedule, voting control, orbital compute disclosure.</t>
  </si>
  <si>
    <t xml:space="preserve">SpaceX results releases, Form 8-K Exhibit 99.1, 4 August 2026 (Q2) and 20 October 2026 (Q3): segment revenue, Segment Adjusted EBITDA, capex, launches, payload mass, launch services revenue, subscribers, nameplate compute, balance sheet.</t>
  </si>
  <si>
    <t xml:space="preserve">SpaceX Form 10-Q, quarter to 30 September 2026, filed 22 October 2026: shares outstanding at 15 October 2026, backlog, customer concentration, Tesla special committee.</t>
  </si>
  <si>
    <t xml:space="preserve">SpaceX Forms 8-K: 23 and 26 June 2026 (US$25bn senior notes), 14 August 2026 (Cursor merger), 26 October 2026 (Apollo GPU finance lease, about US$40bn).</t>
  </si>
  <si>
    <t xml:space="preserve">SpaceX Q3 2026 webcast, 20 October 2026, SpaceX edited transcript at ir.spacex.com: Q1 2027 revenue guide, Q4 capex, compute targets, Starmind timing.</t>
  </si>
  <si>
    <t xml:space="preserve">SpaceX Starmind page, spacex.com/spacexsi/starmind, read 2 November 2026: AI1 specifications.</t>
  </si>
  <si>
    <t xml:space="preserve">Yahoo Finance SPCX history and analysis pages, read 2 November 2026: prices and consensus. stockanalysis.com, 2 November 2026: average target and peer multiples.</t>
  </si>
  <si>
    <t xml:space="preserve">Journal piece: Data centres in orbit: the plug is free and the heat is the bill, thephysicallayer.fyi/journal/data-centres-in-space/, 2 November 2026.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</si>
</sst>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&quot;US$&quot;#,##0.00"/>
    <numFmt numFmtId="166" formatCode="0.0%"/>
    <numFmt numFmtId="167" formatCode="#,##0"/>
    <numFmt numFmtId="168" formatCode="#,##0.000"/>
    <numFmt numFmtId="169" formatCode="#,##0.0"/>
    <numFmt numFmtId="170" formatCode="0.0\x"/>
    <numFmt numFmtId="171" formatCode="0.00"/>
    <numFmt numFmtId="172" formatCode="0.000000"/>
    <numFmt numFmtId="173" formatCode="0"/>
    <numFmt numFmtId="174" formatCode="#,##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F3864"/>
      <name val="Cambria"/>
      <family val="0"/>
      <charset val="1"/>
    </font>
    <font>
      <sz val="9"/>
      <color rgb="FF595959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9"/>
      <color rgb="FF595959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1"/>
      <color rgb="FF1F3864"/>
      <name val="Cambria"/>
      <family val="0"/>
      <charset val="1"/>
    </font>
    <font>
      <sz val="11"/>
      <color rgb="FF0000FF"/>
      <name val="Cambria"/>
      <family val="0"/>
      <charset val="1"/>
    </font>
    <font>
      <b val="true"/>
      <sz val="11"/>
      <color rgb="FF0000FF"/>
      <name val="Cambria"/>
      <family val="0"/>
      <charset val="1"/>
    </font>
    <font>
      <sz val="11"/>
      <color rgb="FF008000"/>
      <name val="Cambria"/>
      <family val="0"/>
      <charset val="1"/>
    </font>
    <font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9E2F3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4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4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4"/>
    <col collapsed="false" customWidth="true" hidden="false" outlineLevel="0" max="3" min="3" style="0" width="9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5" t="n">
        <f aca="false">Assumptions!$B$7</f>
        <v>134.72</v>
      </c>
    </row>
    <row r="6" customFormat="false" ht="15" hidden="false" customHeight="false" outlineLevel="0" collapsed="false">
      <c r="A6" s="3" t="s">
        <v>5</v>
      </c>
      <c r="B6" s="5" t="n">
        <f aca="false">Valuation!D15</f>
        <v>112.318963571987</v>
      </c>
    </row>
    <row r="7" customFormat="false" ht="15" hidden="false" customHeight="false" outlineLevel="0" collapsed="false">
      <c r="A7" s="3" t="s">
        <v>6</v>
      </c>
      <c r="B7" s="6" t="n">
        <f aca="false">Valuation!D17</f>
        <v>-0.166278477048793</v>
      </c>
    </row>
    <row r="8" customFormat="false" ht="15" hidden="false" customHeight="false" outlineLevel="0" collapsed="false">
      <c r="A8" s="3" t="s">
        <v>7</v>
      </c>
      <c r="B8" s="4" t="str">
        <f aca="false">Valuation!D18</f>
        <v>NO CALL</v>
      </c>
    </row>
    <row r="9" customFormat="false" ht="15" hidden="false" customHeight="false" outlineLevel="0" collapsed="false">
      <c r="A9" s="3" t="s">
        <v>8</v>
      </c>
      <c r="B9" s="5" t="n">
        <f aca="false">Scenarios!B21</f>
        <v>118.102752064779</v>
      </c>
    </row>
    <row r="10" customFormat="false" ht="15" hidden="false" customHeight="false" outlineLevel="0" collapsed="false">
      <c r="A10" s="3" t="s">
        <v>9</v>
      </c>
      <c r="B10" s="7" t="n">
        <f aca="false">Valuation!D23</f>
        <v>404229.90287648</v>
      </c>
    </row>
    <row r="11" customFormat="false" ht="15" hidden="false" customHeight="false" outlineLevel="0" collapsed="false">
      <c r="A11" s="3" t="s">
        <v>10</v>
      </c>
      <c r="B11" s="6" t="n">
        <f aca="false">Valuation!D24</f>
        <v>0.227270385043421</v>
      </c>
    </row>
    <row r="12" customFormat="false" ht="15" hidden="false" customHeight="false" outlineLevel="0" collapsed="false">
      <c r="A12" s="3" t="s">
        <v>11</v>
      </c>
      <c r="B12" s="6" t="n">
        <f aca="false">Orbit!B5</f>
        <v>0.75</v>
      </c>
    </row>
    <row r="13" customFormat="false" ht="15" hidden="false" customHeight="false" outlineLevel="0" collapsed="false">
      <c r="A13" s="3" t="s">
        <v>12</v>
      </c>
      <c r="B13" s="7" t="n">
        <f aca="false">Orbit!B19</f>
        <v>8398.40637450199</v>
      </c>
    </row>
    <row r="16" customFormat="false" ht="15" hidden="false" customHeight="false" outlineLevel="0" collapsed="false">
      <c r="A16" s="8" t="s">
        <v>13</v>
      </c>
    </row>
    <row r="17" customFormat="false" ht="15" hidden="false" customHeight="false" outlineLevel="0" collapsed="false">
      <c r="A17" s="8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100"/>
  </cols>
  <sheetData>
    <row r="1" customFormat="false" ht="15" hidden="false" customHeight="false" outlineLevel="0" collapsed="false">
      <c r="A1" s="1" t="s">
        <v>15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8" t="s">
        <v>16</v>
      </c>
    </row>
    <row r="5" customFormat="false" ht="15" hidden="false" customHeight="false" outlineLevel="0" collapsed="false">
      <c r="A5" s="9" t="s">
        <v>17</v>
      </c>
      <c r="B5" s="10" t="s">
        <v>18</v>
      </c>
      <c r="C5" s="10" t="s">
        <v>19</v>
      </c>
      <c r="D5" s="10" t="s">
        <v>20</v>
      </c>
    </row>
    <row r="6" customFormat="false" ht="15" hidden="false" customHeight="false" outlineLevel="0" collapsed="false">
      <c r="A6" s="11" t="s">
        <v>21</v>
      </c>
    </row>
    <row r="7" customFormat="false" ht="15" hidden="false" customHeight="false" outlineLevel="0" collapsed="false">
      <c r="A7" s="12" t="s">
        <v>22</v>
      </c>
      <c r="B7" s="13" t="n">
        <v>134.72</v>
      </c>
      <c r="C7" s="0" t="s">
        <v>23</v>
      </c>
      <c r="D7" s="12" t="s">
        <v>24</v>
      </c>
    </row>
    <row r="8" customFormat="false" ht="15" hidden="false" customHeight="false" outlineLevel="0" collapsed="false">
      <c r="A8" s="12" t="s">
        <v>25</v>
      </c>
      <c r="B8" s="13" t="n">
        <v>135</v>
      </c>
      <c r="C8" s="0" t="s">
        <v>23</v>
      </c>
      <c r="D8" s="12" t="s">
        <v>26</v>
      </c>
    </row>
    <row r="9" customFormat="false" ht="15" hidden="false" customHeight="false" outlineLevel="0" collapsed="false">
      <c r="A9" s="12" t="s">
        <v>27</v>
      </c>
      <c r="B9" s="13" t="n">
        <v>211.39</v>
      </c>
      <c r="C9" s="0" t="s">
        <v>23</v>
      </c>
      <c r="D9" s="12" t="s">
        <v>28</v>
      </c>
    </row>
    <row r="10" customFormat="false" ht="15" hidden="false" customHeight="false" outlineLevel="0" collapsed="false">
      <c r="A10" s="12" t="s">
        <v>29</v>
      </c>
      <c r="B10" s="14" t="n">
        <v>8246.541218</v>
      </c>
      <c r="C10" s="0" t="s">
        <v>30</v>
      </c>
      <c r="D10" s="12" t="s">
        <v>31</v>
      </c>
    </row>
    <row r="11" customFormat="false" ht="15" hidden="false" customHeight="false" outlineLevel="0" collapsed="false">
      <c r="A11" s="12" t="s">
        <v>32</v>
      </c>
      <c r="B11" s="14" t="n">
        <v>5334.522491</v>
      </c>
      <c r="C11" s="0" t="s">
        <v>30</v>
      </c>
      <c r="D11" s="12" t="s">
        <v>33</v>
      </c>
    </row>
    <row r="12" customFormat="false" ht="15" hidden="false" customHeight="false" outlineLevel="0" collapsed="false">
      <c r="A12" s="12" t="s">
        <v>34</v>
      </c>
      <c r="B12" s="15" t="n">
        <v>51294</v>
      </c>
      <c r="C12" s="0" t="s">
        <v>35</v>
      </c>
      <c r="D12" s="12" t="s">
        <v>36</v>
      </c>
    </row>
    <row r="13" customFormat="false" ht="15" hidden="false" customHeight="false" outlineLevel="0" collapsed="false">
      <c r="A13" s="12" t="s">
        <v>37</v>
      </c>
      <c r="B13" s="15" t="n">
        <v>38561</v>
      </c>
      <c r="C13" s="0" t="s">
        <v>35</v>
      </c>
      <c r="D13" s="12" t="s">
        <v>38</v>
      </c>
    </row>
    <row r="14" customFormat="false" ht="15" hidden="false" customHeight="false" outlineLevel="0" collapsed="false">
      <c r="A14" s="12" t="s">
        <v>39</v>
      </c>
      <c r="B14" s="15" t="n">
        <v>2698</v>
      </c>
      <c r="C14" s="0" t="s">
        <v>35</v>
      </c>
      <c r="D14" s="12" t="s">
        <v>38</v>
      </c>
    </row>
    <row r="15" customFormat="false" ht="15" hidden="false" customHeight="false" outlineLevel="0" collapsed="false">
      <c r="A15" s="12" t="s">
        <v>40</v>
      </c>
      <c r="B15" s="15" t="n">
        <v>36146</v>
      </c>
      <c r="C15" s="0" t="s">
        <v>35</v>
      </c>
      <c r="D15" s="12" t="s">
        <v>38</v>
      </c>
    </row>
    <row r="16" customFormat="false" ht="15" hidden="false" customHeight="false" outlineLevel="0" collapsed="false">
      <c r="A16" s="11" t="s">
        <v>41</v>
      </c>
    </row>
    <row r="17" customFormat="false" ht="15" hidden="false" customHeight="false" outlineLevel="0" collapsed="false">
      <c r="A17" s="12" t="s">
        <v>42</v>
      </c>
      <c r="B17" s="15" t="n">
        <v>48930</v>
      </c>
      <c r="C17" s="0" t="s">
        <v>35</v>
      </c>
      <c r="D17" s="12" t="s">
        <v>43</v>
      </c>
    </row>
    <row r="18" customFormat="false" ht="15" hidden="false" customHeight="false" outlineLevel="0" collapsed="false">
      <c r="A18" s="12" t="s">
        <v>44</v>
      </c>
      <c r="B18" s="15" t="n">
        <v>180370</v>
      </c>
      <c r="C18" s="0" t="s">
        <v>35</v>
      </c>
      <c r="D18" s="12" t="s">
        <v>45</v>
      </c>
    </row>
    <row r="19" customFormat="false" ht="15" hidden="false" customHeight="false" outlineLevel="0" collapsed="false">
      <c r="A19" s="12" t="s">
        <v>46</v>
      </c>
      <c r="B19" s="13" t="n">
        <v>4.03</v>
      </c>
      <c r="C19" s="0" t="s">
        <v>23</v>
      </c>
      <c r="D19" s="12" t="s">
        <v>47</v>
      </c>
    </row>
    <row r="20" customFormat="false" ht="15" hidden="false" customHeight="false" outlineLevel="0" collapsed="false">
      <c r="A20" s="12" t="s">
        <v>48</v>
      </c>
      <c r="B20" s="13" t="n">
        <v>257.11</v>
      </c>
      <c r="C20" s="0" t="s">
        <v>23</v>
      </c>
      <c r="D20" s="12" t="s">
        <v>49</v>
      </c>
    </row>
    <row r="21" customFormat="false" ht="15" hidden="false" customHeight="false" outlineLevel="0" collapsed="false">
      <c r="A21" s="11" t="s">
        <v>50</v>
      </c>
    </row>
    <row r="22" customFormat="false" ht="15" hidden="false" customHeight="false" outlineLevel="0" collapsed="false">
      <c r="A22" s="12" t="s">
        <v>51</v>
      </c>
      <c r="B22" s="16" t="n">
        <v>1400</v>
      </c>
      <c r="C22" s="0" t="s">
        <v>35</v>
      </c>
      <c r="D22" s="12" t="s">
        <v>52</v>
      </c>
    </row>
    <row r="23" customFormat="false" ht="15" hidden="false" customHeight="false" outlineLevel="0" collapsed="false">
      <c r="A23" s="12" t="s">
        <v>53</v>
      </c>
      <c r="B23" s="16" t="n">
        <v>150</v>
      </c>
      <c r="C23" s="0" t="s">
        <v>35</v>
      </c>
      <c r="D23" s="12" t="s">
        <v>54</v>
      </c>
    </row>
    <row r="24" customFormat="false" ht="15" hidden="false" customHeight="false" outlineLevel="0" collapsed="false">
      <c r="A24" s="12" t="s">
        <v>55</v>
      </c>
      <c r="B24" s="16" t="n">
        <v>5800</v>
      </c>
      <c r="C24" s="0" t="s">
        <v>35</v>
      </c>
      <c r="D24" s="12" t="s">
        <v>52</v>
      </c>
    </row>
    <row r="25" customFormat="false" ht="15" hidden="false" customHeight="false" outlineLevel="0" collapsed="false">
      <c r="A25" s="12" t="s">
        <v>56</v>
      </c>
      <c r="B25" s="16" t="n">
        <v>3900</v>
      </c>
      <c r="C25" s="0" t="s">
        <v>35</v>
      </c>
      <c r="D25" s="12" t="s">
        <v>54</v>
      </c>
    </row>
    <row r="26" customFormat="false" ht="15" hidden="false" customHeight="false" outlineLevel="0" collapsed="false">
      <c r="A26" s="12" t="s">
        <v>57</v>
      </c>
      <c r="B26" s="16" t="n">
        <v>15000</v>
      </c>
      <c r="C26" s="0" t="s">
        <v>35</v>
      </c>
      <c r="D26" s="12" t="s">
        <v>52</v>
      </c>
    </row>
    <row r="27" customFormat="false" ht="15" hidden="false" customHeight="false" outlineLevel="0" collapsed="false">
      <c r="A27" s="12" t="s">
        <v>58</v>
      </c>
      <c r="B27" s="16" t="n">
        <v>6750</v>
      </c>
      <c r="C27" s="0" t="s">
        <v>35</v>
      </c>
      <c r="D27" s="12" t="s">
        <v>54</v>
      </c>
    </row>
    <row r="28" customFormat="false" ht="15" hidden="false" customHeight="false" outlineLevel="0" collapsed="false">
      <c r="A28" s="11" t="s">
        <v>59</v>
      </c>
    </row>
    <row r="29" customFormat="false" ht="15" hidden="false" customHeight="false" outlineLevel="0" collapsed="false">
      <c r="A29" s="12" t="s">
        <v>60</v>
      </c>
      <c r="B29" s="16" t="n">
        <v>6000</v>
      </c>
      <c r="C29" s="0" t="s">
        <v>35</v>
      </c>
      <c r="D29" s="12" t="s">
        <v>61</v>
      </c>
    </row>
    <row r="30" customFormat="false" ht="15" hidden="false" customHeight="false" outlineLevel="0" collapsed="false">
      <c r="A30" s="12" t="s">
        <v>62</v>
      </c>
      <c r="B30" s="17" t="n">
        <v>0.1</v>
      </c>
      <c r="C30" s="0" t="s">
        <v>63</v>
      </c>
      <c r="D30" s="12" t="s">
        <v>64</v>
      </c>
    </row>
    <row r="31" customFormat="false" ht="15" hidden="false" customHeight="false" outlineLevel="0" collapsed="false">
      <c r="A31" s="12" t="s">
        <v>65</v>
      </c>
      <c r="B31" s="18" t="n">
        <v>15</v>
      </c>
      <c r="C31" s="0" t="s">
        <v>66</v>
      </c>
      <c r="D31" s="12" t="s">
        <v>67</v>
      </c>
    </row>
    <row r="32" customFormat="false" ht="15" hidden="false" customHeight="false" outlineLevel="0" collapsed="false">
      <c r="A32" s="12" t="s">
        <v>68</v>
      </c>
      <c r="B32" s="16" t="n">
        <v>26000</v>
      </c>
      <c r="C32" s="0" t="s">
        <v>35</v>
      </c>
      <c r="D32" s="12" t="s">
        <v>69</v>
      </c>
    </row>
    <row r="33" customFormat="false" ht="15" hidden="false" customHeight="false" outlineLevel="0" collapsed="false">
      <c r="A33" s="12" t="s">
        <v>70</v>
      </c>
      <c r="B33" s="17" t="n">
        <v>0.68</v>
      </c>
      <c r="C33" s="0" t="s">
        <v>63</v>
      </c>
      <c r="D33" s="12" t="s">
        <v>71</v>
      </c>
    </row>
    <row r="34" customFormat="false" ht="15" hidden="false" customHeight="false" outlineLevel="0" collapsed="false">
      <c r="A34" s="12" t="s">
        <v>72</v>
      </c>
      <c r="B34" s="18" t="n">
        <v>25</v>
      </c>
      <c r="C34" s="0" t="s">
        <v>66</v>
      </c>
      <c r="D34" s="12" t="s">
        <v>73</v>
      </c>
    </row>
    <row r="35" customFormat="false" ht="23.85" hidden="false" customHeight="false" outlineLevel="0" collapsed="false">
      <c r="A35" s="12" t="s">
        <v>74</v>
      </c>
      <c r="B35" s="16" t="n">
        <v>135000</v>
      </c>
      <c r="C35" s="0" t="s">
        <v>35</v>
      </c>
      <c r="D35" s="12" t="s">
        <v>75</v>
      </c>
    </row>
    <row r="36" customFormat="false" ht="23.85" hidden="false" customHeight="false" outlineLevel="0" collapsed="false">
      <c r="A36" s="12" t="s">
        <v>76</v>
      </c>
      <c r="B36" s="17" t="n">
        <v>0.48</v>
      </c>
      <c r="C36" s="0" t="s">
        <v>63</v>
      </c>
      <c r="D36" s="12" t="s">
        <v>77</v>
      </c>
    </row>
    <row r="37" customFormat="false" ht="15" hidden="false" customHeight="false" outlineLevel="0" collapsed="false">
      <c r="A37" s="12" t="s">
        <v>78</v>
      </c>
      <c r="B37" s="18" t="n">
        <v>13</v>
      </c>
      <c r="C37" s="0" t="s">
        <v>66</v>
      </c>
      <c r="D37" s="12" t="s">
        <v>79</v>
      </c>
    </row>
    <row r="38" customFormat="false" ht="23.85" hidden="false" customHeight="false" outlineLevel="0" collapsed="false">
      <c r="A38" s="12" t="s">
        <v>80</v>
      </c>
      <c r="B38" s="16" t="n">
        <v>100000</v>
      </c>
      <c r="C38" s="0" t="s">
        <v>35</v>
      </c>
      <c r="D38" s="12" t="s">
        <v>81</v>
      </c>
    </row>
    <row r="39" customFormat="false" ht="15" hidden="false" customHeight="false" outlineLevel="0" collapsed="false">
      <c r="A39" s="12" t="s">
        <v>82</v>
      </c>
      <c r="B39" s="15" t="n">
        <v>13</v>
      </c>
      <c r="C39" s="0" t="s">
        <v>83</v>
      </c>
      <c r="D39" s="12" t="s">
        <v>84</v>
      </c>
    </row>
    <row r="40" customFormat="false" ht="15" hidden="false" customHeight="false" outlineLevel="0" collapsed="false">
      <c r="A40" s="11" t="s">
        <v>85</v>
      </c>
    </row>
    <row r="41" customFormat="false" ht="15" hidden="false" customHeight="false" outlineLevel="0" collapsed="false">
      <c r="A41" s="12" t="s">
        <v>86</v>
      </c>
      <c r="B41" s="15" t="n">
        <v>100</v>
      </c>
      <c r="C41" s="0" t="s">
        <v>87</v>
      </c>
      <c r="D41" s="12" t="s">
        <v>88</v>
      </c>
    </row>
    <row r="42" customFormat="false" ht="23.85" hidden="false" customHeight="false" outlineLevel="0" collapsed="false">
      <c r="A42" s="12" t="s">
        <v>89</v>
      </c>
      <c r="B42" s="15" t="n">
        <v>75</v>
      </c>
      <c r="C42" s="0" t="s">
        <v>90</v>
      </c>
      <c r="D42" s="12" t="s">
        <v>91</v>
      </c>
    </row>
    <row r="43" customFormat="false" ht="15" hidden="false" customHeight="false" outlineLevel="0" collapsed="false">
      <c r="A43" s="12" t="s">
        <v>92</v>
      </c>
      <c r="B43" s="15" t="n">
        <v>175</v>
      </c>
      <c r="C43" s="0" t="s">
        <v>93</v>
      </c>
      <c r="D43" s="12" t="s">
        <v>94</v>
      </c>
    </row>
    <row r="44" customFormat="false" ht="15" hidden="false" customHeight="false" outlineLevel="0" collapsed="false">
      <c r="A44" s="12" t="s">
        <v>95</v>
      </c>
      <c r="B44" s="15" t="n">
        <v>160</v>
      </c>
      <c r="C44" s="0" t="s">
        <v>96</v>
      </c>
      <c r="D44" s="12" t="s">
        <v>97</v>
      </c>
    </row>
    <row r="45" customFormat="false" ht="15" hidden="false" customHeight="false" outlineLevel="0" collapsed="false">
      <c r="A45" s="12" t="s">
        <v>98</v>
      </c>
      <c r="B45" s="15" t="n">
        <v>210</v>
      </c>
      <c r="C45" s="0" t="s">
        <v>93</v>
      </c>
      <c r="D45" s="12" t="s">
        <v>99</v>
      </c>
    </row>
    <row r="46" customFormat="false" ht="15" hidden="false" customHeight="false" outlineLevel="0" collapsed="false">
      <c r="A46" s="12" t="s">
        <v>100</v>
      </c>
      <c r="B46" s="15" t="n">
        <v>250</v>
      </c>
      <c r="C46" s="0" t="s">
        <v>101</v>
      </c>
      <c r="D46" s="12" t="s">
        <v>97</v>
      </c>
    </row>
    <row r="47" customFormat="false" ht="15" hidden="false" customHeight="false" outlineLevel="0" collapsed="false">
      <c r="A47" s="12" t="s">
        <v>102</v>
      </c>
      <c r="B47" s="15" t="n">
        <v>14</v>
      </c>
      <c r="C47" s="0" t="s">
        <v>103</v>
      </c>
      <c r="D47" s="12" t="s">
        <v>104</v>
      </c>
    </row>
    <row r="48" customFormat="false" ht="15" hidden="false" customHeight="false" outlineLevel="0" collapsed="false">
      <c r="A48" s="12" t="s">
        <v>105</v>
      </c>
      <c r="B48" s="15" t="n">
        <v>2213</v>
      </c>
      <c r="C48" s="0" t="s">
        <v>106</v>
      </c>
      <c r="D48" s="12" t="s">
        <v>107</v>
      </c>
    </row>
    <row r="49" customFormat="false" ht="15" hidden="false" customHeight="false" outlineLevel="0" collapsed="false">
      <c r="A49" s="12" t="s">
        <v>108</v>
      </c>
      <c r="B49" s="15" t="n">
        <v>200</v>
      </c>
      <c r="C49" s="0" t="s">
        <v>109</v>
      </c>
      <c r="D49" s="12" t="s">
        <v>110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2"/>
    <col collapsed="false" customWidth="true" hidden="false" outlineLevel="0" max="8" min="2" style="0" width="12"/>
  </cols>
  <sheetData>
    <row r="1" customFormat="false" ht="15" hidden="false" customHeight="false" outlineLevel="0" collapsed="false">
      <c r="A1" s="1" t="s">
        <v>111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9"/>
      <c r="B4" s="10" t="s">
        <v>112</v>
      </c>
      <c r="C4" s="10" t="s">
        <v>113</v>
      </c>
      <c r="D4" s="10" t="s">
        <v>114</v>
      </c>
      <c r="E4" s="10" t="s">
        <v>115</v>
      </c>
      <c r="F4" s="10" t="s">
        <v>116</v>
      </c>
      <c r="G4" s="10" t="s">
        <v>117</v>
      </c>
      <c r="H4" s="10" t="s">
        <v>118</v>
      </c>
    </row>
    <row r="5" customFormat="false" ht="15" hidden="false" customHeight="false" outlineLevel="0" collapsed="false">
      <c r="A5" s="3" t="s">
        <v>119</v>
      </c>
      <c r="B5" s="19" t="n">
        <v>3796</v>
      </c>
      <c r="C5" s="19" t="n">
        <v>4086</v>
      </c>
      <c r="D5" s="19" t="n">
        <v>3348</v>
      </c>
      <c r="E5" s="20" t="n">
        <f aca="false">Assumptions!$B$22</f>
        <v>1400</v>
      </c>
      <c r="F5" s="7" t="n">
        <f aca="false">D5+E5</f>
        <v>4748</v>
      </c>
      <c r="G5" s="20" t="n">
        <f aca="false">Assumptions!$B$29</f>
        <v>6000</v>
      </c>
      <c r="H5" s="6" t="n">
        <f aca="false">G5/F5-1</f>
        <v>0.263689974726201</v>
      </c>
    </row>
    <row r="6" customFormat="false" ht="15" hidden="false" customHeight="false" outlineLevel="0" collapsed="false">
      <c r="A6" s="0" t="s">
        <v>120</v>
      </c>
      <c r="B6" s="19" t="n">
        <v>1154</v>
      </c>
      <c r="C6" s="19" t="n">
        <v>653</v>
      </c>
      <c r="D6" s="19" t="n">
        <v>-199</v>
      </c>
      <c r="E6" s="20" t="n">
        <f aca="false">Assumptions!$B$23</f>
        <v>150</v>
      </c>
      <c r="F6" s="7" t="n">
        <f aca="false">D6+E6</f>
        <v>-49</v>
      </c>
      <c r="G6" s="7" t="n">
        <f aca="false">G5*Assumptions!$B$30</f>
        <v>600</v>
      </c>
    </row>
    <row r="7" customFormat="false" ht="15" hidden="false" customHeight="false" outlineLevel="0" collapsed="false">
      <c r="A7" s="0" t="s">
        <v>121</v>
      </c>
      <c r="B7" s="6" t="n">
        <f aca="false">B6/B5</f>
        <v>0.304004214963119</v>
      </c>
      <c r="C7" s="6" t="n">
        <f aca="false">C6/C5</f>
        <v>0.159813999021047</v>
      </c>
      <c r="D7" s="6" t="n">
        <f aca="false">D6/D5</f>
        <v>-0.0594384707287933</v>
      </c>
      <c r="E7" s="6" t="n">
        <f aca="false">E6/E5</f>
        <v>0.107142857142857</v>
      </c>
      <c r="F7" s="6" t="n">
        <f aca="false">F6/F5</f>
        <v>-0.0103201347935973</v>
      </c>
      <c r="G7" s="6" t="n">
        <f aca="false">G6/G5</f>
        <v>0.1</v>
      </c>
    </row>
    <row r="9" customFormat="false" ht="15" hidden="false" customHeight="false" outlineLevel="0" collapsed="false">
      <c r="A9" s="3" t="s">
        <v>122</v>
      </c>
      <c r="B9" s="19" t="n">
        <v>7599</v>
      </c>
      <c r="C9" s="19" t="n">
        <v>11387</v>
      </c>
      <c r="D9" s="19" t="n">
        <v>12796</v>
      </c>
      <c r="E9" s="20" t="n">
        <f aca="false">Assumptions!$B$24</f>
        <v>5800</v>
      </c>
      <c r="F9" s="7" t="n">
        <f aca="false">D9+E9</f>
        <v>18596</v>
      </c>
      <c r="G9" s="20" t="n">
        <f aca="false">Assumptions!$B$32</f>
        <v>26000</v>
      </c>
      <c r="H9" s="6" t="n">
        <f aca="false">G9/F9-1</f>
        <v>0.398150139815014</v>
      </c>
    </row>
    <row r="10" customFormat="false" ht="15" hidden="false" customHeight="false" outlineLevel="0" collapsed="false">
      <c r="A10" s="0" t="s">
        <v>123</v>
      </c>
      <c r="B10" s="19" t="n">
        <v>3849</v>
      </c>
      <c r="C10" s="19" t="n">
        <v>7168</v>
      </c>
      <c r="D10" s="19" t="n">
        <v>8183</v>
      </c>
      <c r="E10" s="20" t="n">
        <f aca="false">Assumptions!$B$25</f>
        <v>3900</v>
      </c>
      <c r="F10" s="7" t="n">
        <f aca="false">D10+E10</f>
        <v>12083</v>
      </c>
      <c r="G10" s="7" t="n">
        <f aca="false">G9*Assumptions!$B$33</f>
        <v>17680</v>
      </c>
    </row>
    <row r="11" customFormat="false" ht="15" hidden="false" customHeight="false" outlineLevel="0" collapsed="false">
      <c r="A11" s="0" t="s">
        <v>121</v>
      </c>
      <c r="B11" s="6" t="n">
        <f aca="false">B10/B9</f>
        <v>0.506514015001974</v>
      </c>
      <c r="C11" s="6" t="n">
        <f aca="false">C10/C9</f>
        <v>0.629489769034864</v>
      </c>
      <c r="D11" s="6" t="n">
        <f aca="false">D10/D9</f>
        <v>0.639496717724289</v>
      </c>
      <c r="E11" s="6" t="n">
        <f aca="false">E10/E9</f>
        <v>0.672413793103448</v>
      </c>
      <c r="F11" s="6" t="n">
        <f aca="false">F10/F9</f>
        <v>0.649763389976339</v>
      </c>
      <c r="G11" s="6" t="n">
        <f aca="false">G10/G9</f>
        <v>0.68</v>
      </c>
    </row>
    <row r="13" customFormat="false" ht="15" hidden="false" customHeight="false" outlineLevel="0" collapsed="false">
      <c r="A13" s="3" t="s">
        <v>124</v>
      </c>
      <c r="B13" s="19" t="n">
        <v>2620</v>
      </c>
      <c r="C13" s="19" t="n">
        <v>3201</v>
      </c>
      <c r="D13" s="19" t="n">
        <v>10939</v>
      </c>
      <c r="E13" s="20" t="n">
        <f aca="false">Assumptions!$B$26</f>
        <v>15000</v>
      </c>
      <c r="F13" s="7" t="n">
        <f aca="false">D13+E13</f>
        <v>25939</v>
      </c>
      <c r="G13" s="20" t="n">
        <f aca="false">Assumptions!$B$35</f>
        <v>135000</v>
      </c>
      <c r="H13" s="6" t="n">
        <f aca="false">G13/F13-1</f>
        <v>4.204518292918</v>
      </c>
    </row>
    <row r="14" customFormat="false" ht="15" hidden="false" customHeight="false" outlineLevel="0" collapsed="false">
      <c r="A14" s="0" t="s">
        <v>125</v>
      </c>
      <c r="B14" s="19" t="n">
        <v>347</v>
      </c>
      <c r="C14" s="19" t="n">
        <v>-1237</v>
      </c>
      <c r="D14" s="19" t="n">
        <v>5490</v>
      </c>
      <c r="E14" s="20" t="n">
        <f aca="false">Assumptions!$B$27</f>
        <v>6750</v>
      </c>
      <c r="F14" s="7" t="n">
        <f aca="false">D14+E14</f>
        <v>12240</v>
      </c>
      <c r="G14" s="7" t="n">
        <f aca="false">G13*Assumptions!$B$36</f>
        <v>64800</v>
      </c>
    </row>
    <row r="15" customFormat="false" ht="15" hidden="false" customHeight="false" outlineLevel="0" collapsed="false">
      <c r="A15" s="0" t="s">
        <v>121</v>
      </c>
      <c r="B15" s="6" t="n">
        <f aca="false">B14/B13</f>
        <v>0.132442748091603</v>
      </c>
      <c r="C15" s="6" t="n">
        <f aca="false">C14/C13</f>
        <v>-0.386441736957201</v>
      </c>
      <c r="D15" s="6" t="n">
        <f aca="false">D14/D13</f>
        <v>0.501874028704635</v>
      </c>
      <c r="E15" s="6" t="n">
        <f aca="false">E14/E13</f>
        <v>0.45</v>
      </c>
      <c r="F15" s="6" t="n">
        <f aca="false">F14/F13</f>
        <v>0.471876325224565</v>
      </c>
      <c r="G15" s="6" t="n">
        <f aca="false">G14/G13</f>
        <v>0.48</v>
      </c>
    </row>
    <row r="17" customFormat="false" ht="15" hidden="false" customHeight="false" outlineLevel="0" collapsed="false">
      <c r="A17" s="3" t="s">
        <v>126</v>
      </c>
      <c r="B17" s="7" t="n">
        <f aca="false">B5+B9+B13</f>
        <v>14015</v>
      </c>
      <c r="C17" s="7" t="n">
        <f aca="false">C5+C9+C13</f>
        <v>18674</v>
      </c>
      <c r="D17" s="7" t="n">
        <f aca="false">D5+D9+D13</f>
        <v>27083</v>
      </c>
      <c r="E17" s="7" t="n">
        <f aca="false">E5+E9+E13</f>
        <v>22200</v>
      </c>
      <c r="F17" s="7" t="n">
        <f aca="false">F5+F9+F13</f>
        <v>49283</v>
      </c>
      <c r="G17" s="7" t="n">
        <f aca="false">G5+G9+G13</f>
        <v>167000</v>
      </c>
    </row>
    <row r="18" customFormat="false" ht="15" hidden="false" customHeight="false" outlineLevel="0" collapsed="false">
      <c r="A18" s="0" t="s">
        <v>127</v>
      </c>
      <c r="B18" s="7" t="n">
        <f aca="false">B6+B10+B14</f>
        <v>5350</v>
      </c>
      <c r="C18" s="7" t="n">
        <f aca="false">C6+C10+C14</f>
        <v>6584</v>
      </c>
      <c r="D18" s="7" t="n">
        <f aca="false">D6+D10+D14</f>
        <v>13474</v>
      </c>
      <c r="E18" s="7" t="n">
        <f aca="false">E6+E10+E14</f>
        <v>10800</v>
      </c>
      <c r="F18" s="7" t="n">
        <f aca="false">F6+F10+F14</f>
        <v>24274</v>
      </c>
      <c r="G18" s="7" t="n">
        <f aca="false">G6+G10+G14</f>
        <v>83080</v>
      </c>
    </row>
    <row r="19" customFormat="false" ht="15" hidden="false" customHeight="false" outlineLevel="0" collapsed="false">
      <c r="A19" s="0" t="s">
        <v>128</v>
      </c>
      <c r="B19" s="7" t="n">
        <f aca="false">B17-14015</f>
        <v>0</v>
      </c>
      <c r="C19" s="7" t="n">
        <f aca="false">C17-18674</f>
        <v>0</v>
      </c>
      <c r="D19" s="7" t="n">
        <f aca="false">D17-27083</f>
        <v>0</v>
      </c>
    </row>
    <row r="20" customFormat="false" ht="15" hidden="false" customHeight="false" outlineLevel="0" collapsed="false">
      <c r="A20" s="0" t="s">
        <v>129</v>
      </c>
      <c r="F20" s="6" t="n">
        <f aca="false">F17/Assumptions!$B$17-1</f>
        <v>0.00721438790108309</v>
      </c>
    </row>
    <row r="21" customFormat="false" ht="15" hidden="false" customHeight="false" outlineLevel="0" collapsed="false">
      <c r="A21" s="0" t="s">
        <v>130</v>
      </c>
      <c r="G21" s="6" t="n">
        <f aca="false">G17/Assumptions!$B$18-1</f>
        <v>-0.0741254088817431</v>
      </c>
    </row>
    <row r="23" customFormat="false" ht="15" hidden="false" customHeight="false" outlineLevel="0" collapsed="false">
      <c r="A23" s="11" t="s">
        <v>131</v>
      </c>
    </row>
    <row r="24" customFormat="false" ht="15" hidden="false" customHeight="false" outlineLevel="0" collapsed="false">
      <c r="A24" s="9" t="s">
        <v>132</v>
      </c>
      <c r="B24" s="10" t="s">
        <v>133</v>
      </c>
      <c r="C24" s="10" t="s">
        <v>134</v>
      </c>
      <c r="D24" s="10" t="s">
        <v>135</v>
      </c>
      <c r="E24" s="10" t="s">
        <v>136</v>
      </c>
    </row>
    <row r="25" customFormat="false" ht="15" hidden="false" customHeight="false" outlineLevel="0" collapsed="false">
      <c r="A25" s="0" t="s">
        <v>119</v>
      </c>
      <c r="B25" s="19" t="n">
        <v>1666</v>
      </c>
      <c r="C25" s="19" t="n">
        <v>619</v>
      </c>
      <c r="D25" s="19" t="n">
        <v>962</v>
      </c>
      <c r="E25" s="19" t="n">
        <v>1767</v>
      </c>
    </row>
    <row r="26" customFormat="false" ht="15" hidden="false" customHeight="false" outlineLevel="0" collapsed="false">
      <c r="A26" s="0" t="s">
        <v>120</v>
      </c>
      <c r="B26" s="19" t="n">
        <v>674</v>
      </c>
      <c r="C26" s="19" t="n">
        <v>-351</v>
      </c>
      <c r="D26" s="19" t="n">
        <v>-205</v>
      </c>
      <c r="E26" s="19" t="n">
        <v>357</v>
      </c>
    </row>
    <row r="27" customFormat="false" ht="15" hidden="false" customHeight="false" outlineLevel="0" collapsed="false">
      <c r="A27" s="0" t="s">
        <v>122</v>
      </c>
      <c r="B27" s="19" t="n">
        <v>3097</v>
      </c>
      <c r="C27" s="19" t="n">
        <v>3257</v>
      </c>
      <c r="D27" s="19" t="n">
        <v>4291</v>
      </c>
      <c r="E27" s="19" t="n">
        <v>5248</v>
      </c>
    </row>
    <row r="28" customFormat="false" ht="15" hidden="false" customHeight="false" outlineLevel="0" collapsed="false">
      <c r="A28" s="0" t="s">
        <v>123</v>
      </c>
      <c r="B28" s="19" t="n">
        <v>1923</v>
      </c>
      <c r="C28" s="19" t="n">
        <v>2087</v>
      </c>
      <c r="D28" s="19" t="n">
        <v>2597</v>
      </c>
      <c r="E28" s="19" t="n">
        <v>3499</v>
      </c>
    </row>
    <row r="29" customFormat="false" ht="15" hidden="false" customHeight="false" outlineLevel="0" collapsed="false">
      <c r="A29" s="0" t="s">
        <v>124</v>
      </c>
      <c r="B29" s="19" t="n">
        <v>813</v>
      </c>
      <c r="C29" s="19" t="n">
        <v>818</v>
      </c>
      <c r="D29" s="19" t="n">
        <v>2561</v>
      </c>
      <c r="E29" s="19" t="n">
        <v>7560</v>
      </c>
    </row>
    <row r="30" customFormat="false" ht="15" hidden="false" customHeight="false" outlineLevel="0" collapsed="false">
      <c r="A30" s="0" t="s">
        <v>125</v>
      </c>
      <c r="B30" s="19" t="n">
        <v>-428</v>
      </c>
      <c r="C30" s="19" t="n">
        <v>-609</v>
      </c>
      <c r="D30" s="19" t="n">
        <v>1146</v>
      </c>
      <c r="E30" s="19" t="n">
        <v>4953</v>
      </c>
    </row>
    <row r="31" customFormat="false" ht="15" hidden="false" customHeight="false" outlineLevel="0" collapsed="false">
      <c r="A31" s="0" t="s">
        <v>137</v>
      </c>
      <c r="D31" s="6" t="n">
        <f aca="false">D30/D29</f>
        <v>0.447481452557595</v>
      </c>
      <c r="E31" s="6" t="n">
        <f aca="false">E30/E29</f>
        <v>0.65515873015873</v>
      </c>
    </row>
    <row r="32" customFormat="false" ht="15" hidden="false" customHeight="false" outlineLevel="0" collapsed="false">
      <c r="A32" s="0" t="s">
        <v>138</v>
      </c>
      <c r="E32" s="6" t="n">
        <f aca="false">E28/E27</f>
        <v>0.666730182926829</v>
      </c>
    </row>
    <row r="34" customFormat="false" ht="15" hidden="false" customHeight="false" outlineLevel="0" collapsed="false">
      <c r="A34" s="8" t="s">
        <v>139</v>
      </c>
    </row>
    <row r="35" customFormat="false" ht="15" hidden="false" customHeight="false" outlineLevel="0" collapsed="false">
      <c r="A35" s="8" t="s">
        <v>140</v>
      </c>
    </row>
    <row r="36" customFormat="false" ht="15" hidden="false" customHeight="false" outlineLevel="0" collapsed="false">
      <c r="A36" s="8" t="s">
        <v>141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6" min="6" style="0" width="14"/>
  </cols>
  <sheetData>
    <row r="1" customFormat="false" ht="15" hidden="false" customHeight="false" outlineLevel="0" collapsed="false">
      <c r="A1" s="1" t="s">
        <v>142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9" t="s">
        <v>143</v>
      </c>
      <c r="B4" s="10" t="s">
        <v>144</v>
      </c>
      <c r="C4" s="10" t="s">
        <v>145</v>
      </c>
      <c r="D4" s="10" t="s">
        <v>146</v>
      </c>
      <c r="E4" s="10" t="s">
        <v>147</v>
      </c>
      <c r="F4" s="10" t="s">
        <v>148</v>
      </c>
    </row>
    <row r="5" customFormat="false" ht="15" hidden="false" customHeight="false" outlineLevel="0" collapsed="false">
      <c r="A5" s="0" t="s">
        <v>149</v>
      </c>
      <c r="B5" s="20" t="n">
        <f aca="false">Segments!G10</f>
        <v>17680</v>
      </c>
      <c r="C5" s="21" t="n">
        <f aca="false">Assumptions!$B$34</f>
        <v>25</v>
      </c>
      <c r="D5" s="7" t="n">
        <f aca="false">B5*C5</f>
        <v>442000</v>
      </c>
      <c r="E5" s="6" t="n">
        <f aca="false">D5/$D$13</f>
        <v>0.289757973424867</v>
      </c>
      <c r="F5" s="5" t="n">
        <f aca="false">D5/$D$14</f>
        <v>32.5453152618003</v>
      </c>
    </row>
    <row r="6" customFormat="false" ht="15" hidden="false" customHeight="false" outlineLevel="0" collapsed="false">
      <c r="A6" s="0" t="s">
        <v>150</v>
      </c>
      <c r="B6" s="20" t="n">
        <f aca="false">Segments!G14</f>
        <v>64800</v>
      </c>
      <c r="C6" s="21" t="n">
        <f aca="false">Assumptions!$B$37</f>
        <v>13</v>
      </c>
      <c r="D6" s="7" t="n">
        <f aca="false">B6*C6</f>
        <v>842400</v>
      </c>
      <c r="E6" s="6" t="n">
        <f aca="false">D6/$D$13</f>
        <v>0.552244608174453</v>
      </c>
      <c r="F6" s="5" t="n">
        <f aca="false">D6/$D$14</f>
        <v>62.0275420283724</v>
      </c>
    </row>
    <row r="7" customFormat="false" ht="15" hidden="false" customHeight="false" outlineLevel="0" collapsed="false">
      <c r="A7" s="0" t="s">
        <v>151</v>
      </c>
      <c r="B7" s="20" t="n">
        <f aca="false">Segments!G5</f>
        <v>6000</v>
      </c>
      <c r="C7" s="21" t="n">
        <f aca="false">Assumptions!$B$31</f>
        <v>15</v>
      </c>
      <c r="D7" s="7" t="n">
        <f aca="false">B7*C7</f>
        <v>90000</v>
      </c>
      <c r="E7" s="6" t="n">
        <f aca="false">D7/$D$13</f>
        <v>0.0590004923263304</v>
      </c>
      <c r="F7" s="5" t="n">
        <f aca="false">D7/$D$14</f>
        <v>6.62687414833038</v>
      </c>
    </row>
    <row r="8" customFormat="false" ht="15" hidden="false" customHeight="false" outlineLevel="0" collapsed="false">
      <c r="A8" s="3" t="s">
        <v>152</v>
      </c>
      <c r="D8" s="7" t="n">
        <f aca="false">SUM(D5:D7)</f>
        <v>1374400</v>
      </c>
      <c r="F8" s="5" t="n">
        <f aca="false">D8/$D$14</f>
        <v>101.199731438503</v>
      </c>
    </row>
    <row r="9" customFormat="false" ht="15" hidden="false" customHeight="false" outlineLevel="0" collapsed="false">
      <c r="A9" s="0" t="s">
        <v>153</v>
      </c>
      <c r="D9" s="20" t="n">
        <f aca="false">Assumptions!$B$12+Assumptions!$B$13-Assumptions!$B$14-Assumptions!$B$15</f>
        <v>51011</v>
      </c>
      <c r="E9" s="6" t="n">
        <f aca="false">D9/$D$13</f>
        <v>0.0334408234895382</v>
      </c>
      <c r="F9" s="5" t="n">
        <f aca="false">D9/$D$14</f>
        <v>3.75603863533868</v>
      </c>
    </row>
    <row r="10" customFormat="false" ht="15" hidden="false" customHeight="false" outlineLevel="0" collapsed="false">
      <c r="A10" s="0" t="s">
        <v>154</v>
      </c>
      <c r="D10" s="20" t="n">
        <f aca="false">Assumptions!$B$38</f>
        <v>100000</v>
      </c>
      <c r="E10" s="6" t="n">
        <f aca="false">D10/$D$13</f>
        <v>0.0655561025848116</v>
      </c>
      <c r="F10" s="5" t="n">
        <f aca="false">D10/$D$14</f>
        <v>7.36319349814487</v>
      </c>
    </row>
    <row r="13" customFormat="false" ht="15" hidden="false" customHeight="false" outlineLevel="0" collapsed="false">
      <c r="A13" s="3" t="s">
        <v>155</v>
      </c>
      <c r="D13" s="7" t="n">
        <f aca="false">D8+D9+D10</f>
        <v>1525411</v>
      </c>
    </row>
    <row r="14" customFormat="false" ht="15" hidden="false" customHeight="false" outlineLevel="0" collapsed="false">
      <c r="A14" s="0" t="s">
        <v>156</v>
      </c>
      <c r="D14" s="22" t="n">
        <f aca="false">Assumptions!$B$10+Assumptions!$B$11</f>
        <v>13581.063709</v>
      </c>
    </row>
    <row r="15" customFormat="false" ht="15" hidden="false" customHeight="false" outlineLevel="0" collapsed="false">
      <c r="A15" s="3" t="s">
        <v>5</v>
      </c>
      <c r="D15" s="23" t="n">
        <f aca="false">D13/D14</f>
        <v>112.318963571987</v>
      </c>
    </row>
    <row r="16" customFormat="false" ht="15" hidden="false" customHeight="false" outlineLevel="0" collapsed="false">
      <c r="A16" s="0" t="s">
        <v>157</v>
      </c>
      <c r="D16" s="5" t="n">
        <f aca="false">(D8+D9)/D14</f>
        <v>104.955770073842</v>
      </c>
    </row>
    <row r="17" customFormat="false" ht="15" hidden="false" customHeight="false" outlineLevel="0" collapsed="false">
      <c r="A17" s="0" t="s">
        <v>158</v>
      </c>
      <c r="D17" s="6" t="n">
        <f aca="false">D15/Assumptions!$B$7-1</f>
        <v>-0.166278477048793</v>
      </c>
    </row>
    <row r="18" customFormat="false" ht="15" hidden="false" customHeight="false" outlineLevel="0" collapsed="false">
      <c r="A18" s="0" t="s">
        <v>159</v>
      </c>
      <c r="D18" s="4" t="str">
        <f aca="false">IF(D17&gt;=0.15,"LONG",IF(D17&lt;=-0.25,"SHORT","NO CALL"))</f>
        <v>NO CALL</v>
      </c>
    </row>
    <row r="20" customFormat="false" ht="15" hidden="false" customHeight="false" outlineLevel="0" collapsed="false">
      <c r="A20" s="11" t="s">
        <v>160</v>
      </c>
    </row>
    <row r="21" customFormat="false" ht="15" hidden="false" customHeight="false" outlineLevel="0" collapsed="false">
      <c r="A21" s="0" t="s">
        <v>161</v>
      </c>
      <c r="D21" s="20" t="n">
        <f aca="false">Assumptions!$B$7*D14</f>
        <v>1829640.90287648</v>
      </c>
    </row>
    <row r="22" customFormat="false" ht="15" hidden="false" customHeight="false" outlineLevel="0" collapsed="false">
      <c r="A22" s="0" t="s">
        <v>162</v>
      </c>
      <c r="D22" s="7" t="n">
        <f aca="false">D21-D9</f>
        <v>1778629.90287648</v>
      </c>
    </row>
    <row r="23" customFormat="false" ht="15" hidden="false" customHeight="false" outlineLevel="0" collapsed="false">
      <c r="A23" s="3" t="s">
        <v>9</v>
      </c>
      <c r="D23" s="24" t="n">
        <f aca="false">D22-D8</f>
        <v>404229.90287648</v>
      </c>
    </row>
    <row r="24" customFormat="false" ht="15" hidden="false" customHeight="false" outlineLevel="0" collapsed="false">
      <c r="A24" s="0" t="s">
        <v>163</v>
      </c>
      <c r="D24" s="6" t="n">
        <f aca="false">D23/D22</f>
        <v>0.227270385043421</v>
      </c>
    </row>
    <row r="25" customFormat="false" ht="15" hidden="false" customHeight="false" outlineLevel="0" collapsed="false">
      <c r="A25" s="0" t="s">
        <v>164</v>
      </c>
      <c r="D25" s="5" t="n">
        <f aca="false">D23/D14</f>
        <v>29.7642299261583</v>
      </c>
    </row>
    <row r="26" customFormat="false" ht="15" hidden="false" customHeight="false" outlineLevel="0" collapsed="false">
      <c r="A26" s="0" t="s">
        <v>165</v>
      </c>
      <c r="D26" s="7" t="n">
        <f aca="false">D23-D10</f>
        <v>304229.90287648</v>
      </c>
    </row>
    <row r="27" customFormat="false" ht="15" hidden="false" customHeight="false" outlineLevel="0" collapsed="false">
      <c r="A27" s="0" t="s">
        <v>164</v>
      </c>
      <c r="D27" s="5" t="n">
        <f aca="false">D26/D14</f>
        <v>22.4010364280134</v>
      </c>
    </row>
    <row r="28" customFormat="false" ht="15" hidden="false" customHeight="false" outlineLevel="0" collapsed="false">
      <c r="A28" s="0" t="s">
        <v>166</v>
      </c>
      <c r="D28" s="7" t="n">
        <f aca="false">D6/Assumptions!$B$39</f>
        <v>64800</v>
      </c>
    </row>
    <row r="29" customFormat="false" ht="15" hidden="false" customHeight="false" outlineLevel="0" collapsed="false">
      <c r="A29" s="0" t="s">
        <v>167</v>
      </c>
      <c r="D29" s="25" t="n">
        <f aca="false">D23/D28</f>
        <v>6.23811578513087</v>
      </c>
    </row>
    <row r="30" customFormat="false" ht="15" hidden="false" customHeight="false" outlineLevel="0" collapsed="false">
      <c r="A30" s="0" t="s">
        <v>168</v>
      </c>
      <c r="D30" s="7" t="n">
        <f aca="false">D29*1000000/Assumptions!$B$43</f>
        <v>35646.3759150335</v>
      </c>
    </row>
    <row r="31" customFormat="false" ht="15" hidden="false" customHeight="false" outlineLevel="0" collapsed="false">
      <c r="A31" s="0" t="s">
        <v>169</v>
      </c>
      <c r="D31" s="7" t="n">
        <f aca="false">D29*1000000/Assumptions!$B$42</f>
        <v>83174.8771350782</v>
      </c>
    </row>
    <row r="32" customFormat="false" ht="15" hidden="false" customHeight="false" outlineLevel="0" collapsed="false">
      <c r="A32" s="0" t="s">
        <v>170</v>
      </c>
      <c r="D32" s="7" t="n">
        <f aca="false">D29*1000000/Assumptions!$B$41</f>
        <v>62381.1578513087</v>
      </c>
    </row>
    <row r="33" customFormat="false" ht="15" hidden="false" customHeight="false" outlineLevel="0" collapsed="false">
      <c r="A33" s="0" t="s">
        <v>171</v>
      </c>
      <c r="D33" s="26" t="n">
        <f aca="false">D31/Assumptions!$B$48</f>
        <v>37.5846710958329</v>
      </c>
    </row>
    <row r="35" customFormat="false" ht="15" hidden="false" customHeight="false" outlineLevel="0" collapsed="false">
      <c r="A35" s="11" t="s">
        <v>172</v>
      </c>
    </row>
    <row r="36" customFormat="false" ht="15" hidden="false" customHeight="false" outlineLevel="0" collapsed="false">
      <c r="A36" s="0" t="s">
        <v>173</v>
      </c>
      <c r="D36" s="21" t="n">
        <f aca="false">Assumptions!$B$7/Assumptions!$B$19</f>
        <v>33.4292803970223</v>
      </c>
    </row>
    <row r="37" customFormat="false" ht="15" hidden="false" customHeight="false" outlineLevel="0" collapsed="false">
      <c r="A37" s="0" t="s">
        <v>174</v>
      </c>
      <c r="D37" s="26" t="n">
        <f aca="false">D22/Assumptions!$B$18</f>
        <v>9.86100738967944</v>
      </c>
    </row>
    <row r="38" customFormat="false" ht="15" hidden="false" customHeight="false" outlineLevel="0" collapsed="false">
      <c r="A38" s="0" t="s">
        <v>175</v>
      </c>
      <c r="D38" s="26" t="n">
        <f aca="false">D22/Segments!G18</f>
        <v>21.4086411034723</v>
      </c>
    </row>
    <row r="39" customFormat="false" ht="15" hidden="false" customHeight="false" outlineLevel="0" collapsed="false">
      <c r="A39" s="0" t="s">
        <v>176</v>
      </c>
      <c r="D39" s="27" t="n">
        <f aca="false">Assumptions!$B$7/Assumptions!$B$8-1</f>
        <v>-0.00207407407407412</v>
      </c>
    </row>
    <row r="40" customFormat="false" ht="15" hidden="false" customHeight="false" outlineLevel="0" collapsed="false">
      <c r="A40" s="0" t="s">
        <v>177</v>
      </c>
      <c r="D40" s="27" t="n">
        <f aca="false">Assumptions!$B$7/Assumptions!$B$9-1</f>
        <v>-0.362694545626567</v>
      </c>
    </row>
    <row r="41" customFormat="false" ht="15" hidden="false" customHeight="false" outlineLevel="0" collapsed="false">
      <c r="A41" s="0" t="s">
        <v>178</v>
      </c>
      <c r="D41" s="5" t="n">
        <f aca="false">D15/0.75</f>
        <v>149.758618095982</v>
      </c>
    </row>
    <row r="42" customFormat="false" ht="15" hidden="false" customHeight="false" outlineLevel="0" collapsed="false">
      <c r="A42" s="0" t="s">
        <v>179</v>
      </c>
      <c r="D42" s="5" t="n">
        <f aca="false">D15/1.15</f>
        <v>97.6686639756405</v>
      </c>
    </row>
    <row r="44" customFormat="false" ht="15" hidden="false" customHeight="false" outlineLevel="0" collapsed="false">
      <c r="A44" s="8" t="s">
        <v>180</v>
      </c>
    </row>
    <row r="45" customFormat="false" ht="15" hidden="false" customHeight="false" outlineLevel="0" collapsed="false">
      <c r="A45" s="8" t="s">
        <v>181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8" min="2" style="0" width="14"/>
  </cols>
  <sheetData>
    <row r="1" customFormat="false" ht="15" hidden="false" customHeight="false" outlineLevel="0" collapsed="false">
      <c r="A1" s="1" t="s">
        <v>182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9"/>
      <c r="B4" s="10" t="s">
        <v>183</v>
      </c>
      <c r="C4" s="10" t="s">
        <v>184</v>
      </c>
      <c r="D4" s="10" t="s">
        <v>185</v>
      </c>
    </row>
    <row r="5" customFormat="false" ht="15" hidden="false" customHeight="false" outlineLevel="0" collapsed="false">
      <c r="A5" s="0" t="s">
        <v>186</v>
      </c>
      <c r="B5" s="28" t="n">
        <v>5000</v>
      </c>
      <c r="C5" s="20" t="n">
        <f aca="false">Assumptions!$B$29</f>
        <v>6000</v>
      </c>
      <c r="D5" s="28" t="n">
        <v>7000</v>
      </c>
    </row>
    <row r="6" customFormat="false" ht="15" hidden="false" customHeight="false" outlineLevel="0" collapsed="false">
      <c r="A6" s="0" t="s">
        <v>187</v>
      </c>
      <c r="B6" s="29" t="n">
        <v>0</v>
      </c>
      <c r="C6" s="27" t="n">
        <f aca="false">Assumptions!$B$30</f>
        <v>0.1</v>
      </c>
      <c r="D6" s="29" t="n">
        <v>0.15</v>
      </c>
    </row>
    <row r="7" customFormat="false" ht="15" hidden="false" customHeight="false" outlineLevel="0" collapsed="false">
      <c r="A7" s="0" t="s">
        <v>188</v>
      </c>
      <c r="B7" s="30" t="n">
        <v>8</v>
      </c>
      <c r="C7" s="21" t="n">
        <f aca="false">Assumptions!$B$31</f>
        <v>15</v>
      </c>
      <c r="D7" s="30" t="n">
        <v>25</v>
      </c>
    </row>
    <row r="8" customFormat="false" ht="15" hidden="false" customHeight="false" outlineLevel="0" collapsed="false">
      <c r="A8" s="0" t="s">
        <v>189</v>
      </c>
      <c r="B8" s="28" t="n">
        <v>24000</v>
      </c>
      <c r="C8" s="20" t="n">
        <f aca="false">Assumptions!$B$32</f>
        <v>26000</v>
      </c>
      <c r="D8" s="28" t="n">
        <v>28000</v>
      </c>
    </row>
    <row r="9" customFormat="false" ht="15" hidden="false" customHeight="false" outlineLevel="0" collapsed="false">
      <c r="A9" s="0" t="s">
        <v>190</v>
      </c>
      <c r="B9" s="29" t="n">
        <v>0.65</v>
      </c>
      <c r="C9" s="27" t="n">
        <f aca="false">Assumptions!$B$33</f>
        <v>0.68</v>
      </c>
      <c r="D9" s="29" t="n">
        <v>0.7</v>
      </c>
    </row>
    <row r="10" customFormat="false" ht="15" hidden="false" customHeight="false" outlineLevel="0" collapsed="false">
      <c r="A10" s="0" t="s">
        <v>191</v>
      </c>
      <c r="B10" s="30" t="n">
        <v>15</v>
      </c>
      <c r="C10" s="21" t="n">
        <f aca="false">Assumptions!$B$34</f>
        <v>25</v>
      </c>
      <c r="D10" s="30" t="n">
        <v>35</v>
      </c>
    </row>
    <row r="11" customFormat="false" ht="15" hidden="false" customHeight="false" outlineLevel="0" collapsed="false">
      <c r="A11" s="0" t="s">
        <v>192</v>
      </c>
      <c r="B11" s="28" t="n">
        <v>90000</v>
      </c>
      <c r="C11" s="20" t="n">
        <f aca="false">Assumptions!$B$35</f>
        <v>135000</v>
      </c>
      <c r="D11" s="28" t="n">
        <v>175000</v>
      </c>
    </row>
    <row r="12" customFormat="false" ht="15" hidden="false" customHeight="false" outlineLevel="0" collapsed="false">
      <c r="A12" s="0" t="s">
        <v>193</v>
      </c>
      <c r="B12" s="29" t="n">
        <v>0.4</v>
      </c>
      <c r="C12" s="27" t="n">
        <f aca="false">Assumptions!$B$36</f>
        <v>0.48</v>
      </c>
      <c r="D12" s="29" t="n">
        <v>0.55</v>
      </c>
    </row>
    <row r="13" customFormat="false" ht="15" hidden="false" customHeight="false" outlineLevel="0" collapsed="false">
      <c r="A13" s="0" t="s">
        <v>194</v>
      </c>
      <c r="B13" s="30" t="n">
        <v>8</v>
      </c>
      <c r="C13" s="21" t="n">
        <f aca="false">Assumptions!$B$37</f>
        <v>13</v>
      </c>
      <c r="D13" s="30" t="n">
        <v>16</v>
      </c>
    </row>
    <row r="14" customFormat="false" ht="15" hidden="false" customHeight="false" outlineLevel="0" collapsed="false">
      <c r="A14" s="0" t="s">
        <v>195</v>
      </c>
      <c r="B14" s="28" t="n">
        <v>0</v>
      </c>
      <c r="C14" s="20" t="n">
        <f aca="false">Assumptions!$B$38</f>
        <v>100000</v>
      </c>
      <c r="D14" s="28" t="n">
        <v>300000</v>
      </c>
    </row>
    <row r="15" customFormat="false" ht="15" hidden="false" customHeight="false" outlineLevel="0" collapsed="false">
      <c r="A15" s="0" t="s">
        <v>196</v>
      </c>
      <c r="B15" s="29" t="n">
        <v>0.25</v>
      </c>
      <c r="C15" s="29" t="n">
        <v>0.5</v>
      </c>
      <c r="D15" s="29" t="n">
        <v>0.25</v>
      </c>
    </row>
    <row r="17" customFormat="false" ht="15" hidden="false" customHeight="false" outlineLevel="0" collapsed="false">
      <c r="A17" s="3" t="s">
        <v>197</v>
      </c>
      <c r="B17" s="7" t="n">
        <f aca="false">B5*B7+B8*B9*B10+B11*B12*B13</f>
        <v>562000</v>
      </c>
      <c r="C17" s="7" t="n">
        <f aca="false">C5*C7+C8*C9*C10+C11*C12*C13</f>
        <v>1374400</v>
      </c>
      <c r="D17" s="7" t="n">
        <f aca="false">D5*D7+D8*D9*D10+D11*D12*D13</f>
        <v>2401000</v>
      </c>
    </row>
    <row r="18" customFormat="false" ht="15" hidden="false" customHeight="false" outlineLevel="0" collapsed="false">
      <c r="A18" s="3" t="s">
        <v>198</v>
      </c>
      <c r="B18" s="5" t="n">
        <f aca="false">(B17+B14+Valuation!$D$9)/Valuation!$D$14</f>
        <v>45.1371860949128</v>
      </c>
      <c r="C18" s="5" t="n">
        <f aca="false">(C17+C14+Valuation!$D$9)/Valuation!$D$14</f>
        <v>112.318963571987</v>
      </c>
      <c r="D18" s="5" t="n">
        <f aca="false">(D17+D14+Valuation!$D$9)/Valuation!$D$14</f>
        <v>202.635895020232</v>
      </c>
    </row>
    <row r="19" customFormat="false" ht="15" hidden="false" customHeight="false" outlineLevel="0" collapsed="false">
      <c r="A19" s="0" t="s">
        <v>199</v>
      </c>
      <c r="B19" s="6" t="n">
        <f aca="false">B18/Assumptions!$B$7-1</f>
        <v>-0.664955566397619</v>
      </c>
      <c r="C19" s="6" t="n">
        <f aca="false">C18/Assumptions!$B$7-1</f>
        <v>-0.166278477048793</v>
      </c>
      <c r="D19" s="6" t="n">
        <f aca="false">D18/Assumptions!$B$7-1</f>
        <v>0.504126299140673</v>
      </c>
    </row>
    <row r="21" customFormat="false" ht="15" hidden="false" customHeight="false" outlineLevel="0" collapsed="false">
      <c r="A21" s="3" t="s">
        <v>200</v>
      </c>
      <c r="B21" s="5" t="n">
        <f aca="false">SUMPRODUCT(B18:D18,B15:D15)</f>
        <v>118.102752064779</v>
      </c>
      <c r="C21" s="6" t="n">
        <f aca="false">B21/Assumptions!$B$7-1</f>
        <v>-0.123346555338633</v>
      </c>
    </row>
    <row r="22" customFormat="false" ht="15" hidden="false" customHeight="false" outlineLevel="0" collapsed="false">
      <c r="A22" s="0" t="s">
        <v>201</v>
      </c>
      <c r="B22" s="31" t="n">
        <f aca="false">C18-Valuation!D15</f>
        <v>0</v>
      </c>
    </row>
    <row r="24" customFormat="false" ht="15" hidden="false" customHeight="false" outlineLevel="0" collapsed="false">
      <c r="A24" s="8" t="s">
        <v>202</v>
      </c>
    </row>
    <row r="25" customFormat="false" ht="15" hidden="false" customHeight="false" outlineLevel="0" collapsed="false">
      <c r="A25" s="8" t="s">
        <v>203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4"/>
  </cols>
  <sheetData>
    <row r="1" customFormat="false" ht="15" hidden="false" customHeight="false" outlineLevel="0" collapsed="false">
      <c r="A1" s="1" t="s">
        <v>204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B3" s="32" t="n">
        <v>10</v>
      </c>
      <c r="C3" s="32" t="n">
        <v>13</v>
      </c>
      <c r="D3" s="32" t="n">
        <v>16</v>
      </c>
    </row>
    <row r="4" customFormat="false" ht="15" hidden="false" customHeight="false" outlineLevel="0" collapsed="false">
      <c r="A4" s="9" t="s">
        <v>205</v>
      </c>
      <c r="B4" s="10" t="s">
        <v>206</v>
      </c>
      <c r="C4" s="10" t="s">
        <v>207</v>
      </c>
      <c r="D4" s="10" t="s">
        <v>208</v>
      </c>
    </row>
    <row r="5" customFormat="false" ht="15" hidden="false" customHeight="false" outlineLevel="0" collapsed="false">
      <c r="A5" s="19" t="n">
        <v>52000</v>
      </c>
      <c r="B5" s="5" t="n">
        <f aca="false">(Valuation!$D$5+Valuation!$D$7+$A5*B$3+Valuation!$D$9+Valuation!$D$10)/Valuation!$D$14</f>
        <v>88.5800277339675</v>
      </c>
      <c r="C5" s="5" t="n">
        <f aca="false">(Valuation!$D$5+Valuation!$D$7+$A5*C$3+Valuation!$D$9+Valuation!$D$10)/Valuation!$D$14</f>
        <v>100.066609591074</v>
      </c>
      <c r="D5" s="5" t="n">
        <f aca="false">(Valuation!$D$5+Valuation!$D$7+$A5*D$3+Valuation!$D$9+Valuation!$D$10)/Valuation!$D$14</f>
        <v>111.55319144818</v>
      </c>
    </row>
    <row r="6" customFormat="false" ht="15" hidden="false" customHeight="false" outlineLevel="0" collapsed="false">
      <c r="A6" s="20" t="n">
        <f aca="false">Valuation!B6</f>
        <v>64800</v>
      </c>
      <c r="B6" s="5" t="n">
        <f aca="false">(Valuation!$D$5+Valuation!$D$7+$A6*B$3+Valuation!$D$9+Valuation!$D$10)/Valuation!$D$14</f>
        <v>98.004915411593</v>
      </c>
      <c r="C6" s="5" t="n">
        <f aca="false">(Valuation!$D$5+Valuation!$D$7+$A6*C$3+Valuation!$D$9+Valuation!$D$10)/Valuation!$D$14</f>
        <v>112.318963571987</v>
      </c>
      <c r="D6" s="5" t="n">
        <f aca="false">(Valuation!$D$5+Valuation!$D$7+$A6*D$3+Valuation!$D$9+Valuation!$D$10)/Valuation!$D$14</f>
        <v>126.63301173238</v>
      </c>
    </row>
    <row r="7" customFormat="false" ht="15" hidden="false" customHeight="false" outlineLevel="0" collapsed="false">
      <c r="A7" s="19" t="n">
        <v>78000</v>
      </c>
      <c r="B7" s="5" t="n">
        <f aca="false">(Valuation!$D$5+Valuation!$D$7+$A7*B$3+Valuation!$D$9+Valuation!$D$10)/Valuation!$D$14</f>
        <v>107.724330829144</v>
      </c>
      <c r="C7" s="5" t="n">
        <f aca="false">(Valuation!$D$5+Valuation!$D$7+$A7*C$3+Valuation!$D$9+Valuation!$D$10)/Valuation!$D$14</f>
        <v>124.954203614803</v>
      </c>
      <c r="D7" s="5" t="n">
        <f aca="false">(Valuation!$D$5+Valuation!$D$7+$A7*D$3+Valuation!$D$9+Valuation!$D$10)/Valuation!$D$14</f>
        <v>142.184076400462</v>
      </c>
    </row>
    <row r="9" customFormat="false" ht="15" hidden="false" customHeight="false" outlineLevel="0" collapsed="false">
      <c r="A9" s="3" t="s">
        <v>209</v>
      </c>
      <c r="B9" s="33" t="n">
        <f aca="false">COUNTIF(B5:D7,"&gt;"&amp;Assumptions!$B$7)</f>
        <v>1</v>
      </c>
      <c r="C9" s="0" t="s">
        <v>210</v>
      </c>
    </row>
    <row r="10" customFormat="false" ht="15" hidden="false" customHeight="false" outlineLevel="0" collapsed="false">
      <c r="A10" s="3" t="s">
        <v>211</v>
      </c>
      <c r="B10" s="33" t="n">
        <f aca="false">COUNTIF(B5:D7,"&lt;="&amp;Assumptions!$B$7*0.75)</f>
        <v>3</v>
      </c>
      <c r="C10" s="0" t="s">
        <v>210</v>
      </c>
    </row>
    <row r="11" customFormat="false" ht="15" hidden="false" customHeight="false" outlineLevel="0" collapsed="false">
      <c r="A11" s="3" t="s">
        <v>212</v>
      </c>
      <c r="B11" s="33" t="n">
        <f aca="false">COUNTIF(B5:D7,"&gt;="&amp;Assumptions!$B$7*1.15)</f>
        <v>0</v>
      </c>
      <c r="C11" s="0" t="s">
        <v>210</v>
      </c>
    </row>
    <row r="13" customFormat="false" ht="15" hidden="false" customHeight="false" outlineLevel="0" collapsed="false">
      <c r="A13" s="8" t="s">
        <v>213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4"/>
    <col collapsed="false" customWidth="true" hidden="false" outlineLevel="0" max="7" min="2" style="0" width="14"/>
  </cols>
  <sheetData>
    <row r="1" customFormat="false" ht="15" hidden="false" customHeight="false" outlineLevel="0" collapsed="false">
      <c r="A1" s="1" t="s">
        <v>214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11" t="s">
        <v>215</v>
      </c>
    </row>
    <row r="5" customFormat="false" ht="15" hidden="false" customHeight="false" outlineLevel="0" collapsed="false">
      <c r="A5" s="0" t="s">
        <v>216</v>
      </c>
      <c r="B5" s="27" t="n">
        <f aca="false">Assumptions!$B$42/Assumptions!$B$41</f>
        <v>0.75</v>
      </c>
    </row>
    <row r="6" customFormat="false" ht="15" hidden="false" customHeight="false" outlineLevel="0" collapsed="false">
      <c r="A6" s="0" t="s">
        <v>217</v>
      </c>
      <c r="B6" s="6" t="n">
        <f aca="false">1-B5</f>
        <v>0.25</v>
      </c>
    </row>
    <row r="7" customFormat="false" ht="15" hidden="false" customHeight="false" outlineLevel="0" collapsed="false">
      <c r="A7" s="0" t="s">
        <v>218</v>
      </c>
      <c r="B7" s="34" t="n">
        <f aca="false">1000/Assumptions!$B$42</f>
        <v>13.3333333333333</v>
      </c>
    </row>
    <row r="8" customFormat="false" ht="15" hidden="false" customHeight="false" outlineLevel="0" collapsed="false">
      <c r="A8" s="0" t="s">
        <v>219</v>
      </c>
      <c r="B8" s="35" t="n">
        <f aca="false">Assumptions!$B$43/Assumptions!$B$42</f>
        <v>2.33333333333333</v>
      </c>
    </row>
    <row r="9" customFormat="false" ht="15" hidden="false" customHeight="false" outlineLevel="0" collapsed="false">
      <c r="A9" s="0" t="s">
        <v>220</v>
      </c>
      <c r="B9" s="20" t="n">
        <f aca="false">Assumptions!$B$43*1000/Assumptions!$B$44</f>
        <v>1093.75</v>
      </c>
    </row>
    <row r="10" customFormat="false" ht="15" hidden="false" customHeight="false" outlineLevel="0" collapsed="false">
      <c r="A10" s="0" t="s">
        <v>221</v>
      </c>
      <c r="B10" s="35" t="n">
        <f aca="false">Assumptions!$B$44*Assumptions!$B$47/1000</f>
        <v>2.24</v>
      </c>
    </row>
    <row r="11" customFormat="false" ht="15" hidden="false" customHeight="false" outlineLevel="0" collapsed="false">
      <c r="A11" s="0" t="s">
        <v>222</v>
      </c>
      <c r="B11" s="20" t="n">
        <f aca="false">Assumptions!$B$45*1000/Assumptions!$B$46</f>
        <v>840</v>
      </c>
    </row>
    <row r="13" customFormat="false" ht="15" hidden="false" customHeight="false" outlineLevel="0" collapsed="false">
      <c r="A13" s="11" t="s">
        <v>223</v>
      </c>
    </row>
    <row r="14" customFormat="false" ht="15" hidden="false" customHeight="false" outlineLevel="0" collapsed="false">
      <c r="A14" s="9" t="s">
        <v>224</v>
      </c>
      <c r="B14" s="10" t="s">
        <v>225</v>
      </c>
      <c r="C14" s="10" t="s">
        <v>226</v>
      </c>
      <c r="D14" s="10" t="s">
        <v>133</v>
      </c>
      <c r="E14" s="10" t="s">
        <v>134</v>
      </c>
      <c r="F14" s="10" t="s">
        <v>135</v>
      </c>
      <c r="G14" s="10" t="s">
        <v>136</v>
      </c>
    </row>
    <row r="15" customFormat="false" ht="15" hidden="false" customHeight="false" outlineLevel="0" collapsed="false">
      <c r="A15" s="0" t="s">
        <v>227</v>
      </c>
      <c r="B15" s="19" t="n">
        <v>566</v>
      </c>
      <c r="C15" s="19" t="n">
        <v>490</v>
      </c>
      <c r="D15" s="19" t="n">
        <v>1000</v>
      </c>
      <c r="E15" s="19" t="n">
        <v>330</v>
      </c>
      <c r="F15" s="19" t="n">
        <v>648</v>
      </c>
      <c r="G15" s="19" t="n">
        <v>1130</v>
      </c>
    </row>
    <row r="16" customFormat="false" ht="15" hidden="false" customHeight="false" outlineLevel="0" collapsed="false">
      <c r="A16" s="0" t="s">
        <v>228</v>
      </c>
      <c r="B16" s="19" t="n">
        <v>75</v>
      </c>
      <c r="C16" s="19" t="n">
        <v>88</v>
      </c>
      <c r="D16" s="19" t="n">
        <v>111</v>
      </c>
      <c r="E16" s="19" t="n">
        <v>45</v>
      </c>
      <c r="F16" s="19" t="n">
        <v>87</v>
      </c>
      <c r="G16" s="19" t="n">
        <v>119</v>
      </c>
    </row>
    <row r="17" customFormat="false" ht="15" hidden="false" customHeight="false" outlineLevel="0" collapsed="false">
      <c r="A17" s="0" t="s">
        <v>229</v>
      </c>
      <c r="B17" s="7" t="n">
        <f aca="false">B15*1000000/(B16*1000)</f>
        <v>7546.66666666667</v>
      </c>
      <c r="C17" s="7" t="n">
        <f aca="false">C15*1000000/(C16*1000)</f>
        <v>5568.18181818182</v>
      </c>
      <c r="D17" s="7" t="n">
        <f aca="false">D15*1000000/(D16*1000)</f>
        <v>9009.00900900901</v>
      </c>
      <c r="E17" s="7" t="n">
        <f aca="false">E15*1000000/(E16*1000)</f>
        <v>7333.33333333333</v>
      </c>
      <c r="F17" s="7" t="n">
        <f aca="false">F15*1000000/(F16*1000)</f>
        <v>7448.27586206897</v>
      </c>
      <c r="G17" s="7" t="n">
        <f aca="false">G15*1000000/(G16*1000)</f>
        <v>9495.79831932773</v>
      </c>
    </row>
    <row r="19" customFormat="false" ht="15" hidden="false" customHeight="false" outlineLevel="0" collapsed="false">
      <c r="A19" s="3" t="s">
        <v>230</v>
      </c>
      <c r="B19" s="7" t="n">
        <f aca="false">C19*1000000/(D19*1000)</f>
        <v>8398.40637450199</v>
      </c>
      <c r="C19" s="36" t="n">
        <v>2108</v>
      </c>
      <c r="D19" s="36" t="n">
        <v>251</v>
      </c>
    </row>
    <row r="20" customFormat="false" ht="15" hidden="false" customHeight="false" outlineLevel="0" collapsed="false">
      <c r="A20" s="0" t="s">
        <v>231</v>
      </c>
      <c r="B20" s="26" t="n">
        <f aca="false">B19/Assumptions!$B$49</f>
        <v>41.99203187251</v>
      </c>
    </row>
    <row r="21" customFormat="false" ht="15" hidden="false" customHeight="false" outlineLevel="0" collapsed="false">
      <c r="A21" s="0" t="s">
        <v>232</v>
      </c>
      <c r="B21" s="7" t="n">
        <f aca="false">1000000/Assumptions!$B$48</f>
        <v>451.875282422052</v>
      </c>
    </row>
    <row r="23" customFormat="false" ht="15" hidden="false" customHeight="false" outlineLevel="0" collapsed="false">
      <c r="A23" s="8" t="s">
        <v>233</v>
      </c>
    </row>
    <row r="24" customFormat="false" ht="15" hidden="false" customHeight="false" outlineLevel="0" collapsed="false">
      <c r="A24" s="8" t="s">
        <v>234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0"/>
    <col collapsed="false" customWidth="true" hidden="false" outlineLevel="0" max="5" min="3" style="0" width="14"/>
    <col collapsed="false" customWidth="true" hidden="false" outlineLevel="0" max="6" min="6" style="0" width="56"/>
  </cols>
  <sheetData>
    <row r="1" customFormat="false" ht="15" hidden="false" customHeight="false" outlineLevel="0" collapsed="false">
      <c r="A1" s="1" t="s">
        <v>235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9" t="s">
        <v>236</v>
      </c>
      <c r="B4" s="10" t="s">
        <v>237</v>
      </c>
      <c r="C4" s="10" t="s">
        <v>238</v>
      </c>
      <c r="D4" s="10" t="s">
        <v>239</v>
      </c>
      <c r="E4" s="10" t="s">
        <v>240</v>
      </c>
      <c r="F4" s="10" t="s">
        <v>241</v>
      </c>
    </row>
    <row r="5" customFormat="false" ht="15" hidden="false" customHeight="false" outlineLevel="0" collapsed="false">
      <c r="A5" s="3" t="s">
        <v>242</v>
      </c>
      <c r="B5" s="0" t="s">
        <v>243</v>
      </c>
      <c r="C5" s="37" t="n">
        <v>1780</v>
      </c>
      <c r="D5" s="38" t="s">
        <v>244</v>
      </c>
      <c r="E5" s="38" t="n">
        <v>55.52</v>
      </c>
      <c r="F5" s="12" t="s">
        <v>245</v>
      </c>
    </row>
    <row r="6" customFormat="false" ht="15" hidden="false" customHeight="false" outlineLevel="0" collapsed="false">
      <c r="A6" s="39" t="s">
        <v>246</v>
      </c>
      <c r="B6" s="0" t="s">
        <v>247</v>
      </c>
      <c r="C6" s="37" t="n">
        <v>528.19</v>
      </c>
      <c r="D6" s="38" t="n">
        <v>15.34</v>
      </c>
      <c r="E6" s="38" t="n">
        <v>7.36</v>
      </c>
      <c r="F6" s="12" t="s">
        <v>248</v>
      </c>
    </row>
    <row r="7" customFormat="false" ht="15" hidden="false" customHeight="false" outlineLevel="0" collapsed="false">
      <c r="A7" s="39" t="s">
        <v>249</v>
      </c>
      <c r="B7" s="0" t="s">
        <v>250</v>
      </c>
      <c r="C7" s="37" t="n">
        <v>76.29</v>
      </c>
      <c r="D7" s="38" t="n">
        <v>20.14</v>
      </c>
      <c r="E7" s="38" t="n">
        <v>10.05</v>
      </c>
      <c r="F7" s="12" t="s">
        <v>251</v>
      </c>
    </row>
    <row r="8" customFormat="false" ht="15" hidden="false" customHeight="false" outlineLevel="0" collapsed="false">
      <c r="A8" s="39" t="s">
        <v>252</v>
      </c>
      <c r="B8" s="0" t="s">
        <v>253</v>
      </c>
      <c r="C8" s="37" t="n">
        <v>44.4</v>
      </c>
      <c r="D8" s="38" t="s">
        <v>244</v>
      </c>
      <c r="E8" s="38" t="n">
        <v>32.77</v>
      </c>
      <c r="F8" s="12" t="s">
        <v>251</v>
      </c>
    </row>
    <row r="9" customFormat="false" ht="15" hidden="false" customHeight="false" outlineLevel="0" collapsed="false">
      <c r="A9" s="39" t="s">
        <v>254</v>
      </c>
      <c r="B9" s="0" t="s">
        <v>255</v>
      </c>
      <c r="C9" s="37" t="n">
        <v>279.08</v>
      </c>
      <c r="D9" s="38" t="n">
        <v>7.89</v>
      </c>
      <c r="E9" s="38" t="n">
        <v>2.97</v>
      </c>
      <c r="F9" s="12" t="s">
        <v>256</v>
      </c>
    </row>
    <row r="10" customFormat="false" ht="15" hidden="false" customHeight="false" outlineLevel="0" collapsed="false">
      <c r="A10" s="39" t="s">
        <v>257</v>
      </c>
      <c r="B10" s="0" t="s">
        <v>258</v>
      </c>
      <c r="C10" s="37" t="n">
        <v>16.65</v>
      </c>
      <c r="D10" s="38" t="s">
        <v>244</v>
      </c>
      <c r="E10" s="38" t="n">
        <v>144.4</v>
      </c>
      <c r="F10" s="12" t="s">
        <v>259</v>
      </c>
    </row>
    <row r="11" customFormat="false" ht="15" hidden="false" customHeight="false" outlineLevel="0" collapsed="false">
      <c r="A11" s="39" t="s">
        <v>260</v>
      </c>
      <c r="B11" s="0" t="s">
        <v>261</v>
      </c>
      <c r="C11" s="37" t="n">
        <v>30.5</v>
      </c>
      <c r="D11" s="38" t="s">
        <v>244</v>
      </c>
      <c r="E11" s="38" t="n">
        <v>39.65</v>
      </c>
      <c r="F11" s="12" t="s">
        <v>262</v>
      </c>
    </row>
    <row r="13" customFormat="false" ht="15" hidden="false" customHeight="false" outlineLevel="0" collapsed="false">
      <c r="A13" s="8" t="s">
        <v>263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40"/>
  </cols>
  <sheetData>
    <row r="1" customFormat="false" ht="15" hidden="false" customHeight="false" outlineLevel="0" collapsed="false">
      <c r="A1" s="1" t="s">
        <v>264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9" t="s">
        <v>265</v>
      </c>
      <c r="B4" s="10" t="s">
        <v>266</v>
      </c>
    </row>
    <row r="5" customFormat="false" ht="23.85" hidden="false" customHeight="false" outlineLevel="0" collapsed="false">
      <c r="A5" s="0" t="n">
        <v>1</v>
      </c>
      <c r="B5" s="12" t="s">
        <v>267</v>
      </c>
    </row>
    <row r="6" customFormat="false" ht="23.85" hidden="false" customHeight="false" outlineLevel="0" collapsed="false">
      <c r="A6" s="0" t="n">
        <v>2</v>
      </c>
      <c r="B6" s="12" t="s">
        <v>268</v>
      </c>
    </row>
    <row r="7" customFormat="false" ht="23.85" hidden="false" customHeight="false" outlineLevel="0" collapsed="false">
      <c r="A7" s="0" t="n">
        <v>3</v>
      </c>
      <c r="B7" s="12" t="s">
        <v>269</v>
      </c>
    </row>
    <row r="8" customFormat="false" ht="15" hidden="false" customHeight="false" outlineLevel="0" collapsed="false">
      <c r="A8" s="0" t="n">
        <v>4</v>
      </c>
      <c r="B8" s="12" t="s">
        <v>270</v>
      </c>
    </row>
    <row r="9" customFormat="false" ht="15" hidden="false" customHeight="false" outlineLevel="0" collapsed="false">
      <c r="A9" s="0" t="n">
        <v>5</v>
      </c>
      <c r="B9" s="12" t="s">
        <v>271</v>
      </c>
    </row>
    <row r="10" customFormat="false" ht="15" hidden="false" customHeight="false" outlineLevel="0" collapsed="false">
      <c r="A10" s="0" t="n">
        <v>6</v>
      </c>
      <c r="B10" s="12" t="s">
        <v>272</v>
      </c>
    </row>
    <row r="11" customFormat="false" ht="23.85" hidden="false" customHeight="false" outlineLevel="0" collapsed="false">
      <c r="A11" s="0" t="n">
        <v>7</v>
      </c>
      <c r="B11" s="12" t="s">
        <v>273</v>
      </c>
    </row>
    <row r="12" customFormat="false" ht="15" hidden="false" customHeight="false" outlineLevel="0" collapsed="false">
      <c r="A12" s="0" t="n">
        <v>8</v>
      </c>
      <c r="B12" s="12" t="s">
        <v>274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2026-11-02T09:50:09Z</dcterms:created>
  <dc:creator>openpyxl</dc:creator>
  <dc:description/>
  <dc:language>en-GB</dc:language>
  <cp:lastModifiedBy/>
  <dcterms:modified xsi:type="dcterms:W3CDTF">2026-11-02T09:50:09Z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