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9.xml" ContentType="application/vnd.openxmlformats-officedocument.spreadsheetml.worksheet+xml"/>
  <Override PartName="/xl/worksheets/sheet5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6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Cover" sheetId="1" state="visible" r:id="rId3"/>
    <sheet name="Assumptions" sheetId="2" state="visible" r:id="rId4"/>
    <sheet name="Quarterly" sheetId="3" state="visible" r:id="rId5"/>
    <sheet name="Gigawatts" sheetId="4" state="visible" r:id="rId6"/>
    <sheet name="Financials" sheetId="5" state="visible" r:id="rId7"/>
    <sheet name="Scenarios" sheetId="6" state="visible" r:id="rId8"/>
    <sheet name="Sensitivity" sheetId="7" state="visible" r:id="rId9"/>
    <sheet name="Valuation" sheetId="8" state="visible" r:id="rId10"/>
    <sheet name="Peers" sheetId="9" state="visible" r:id="rId11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<sst xmlns="http://schemas.openxmlformats.org/spreadsheetml/2006/main" count="334" uniqueCount="273">
  <si>
    <t xml:space="preserve">NVIDIA CORPORATION (NASDAQ: NVDA)  INITIATION MODEL</t>
  </si>
  <si>
    <t xml:space="preserve">Tommy Lau | Nvidia Corporation (Nasdaq: NVDA) | 2 November 2026 | Non-GAAP from FY27; FY27 ends about 31 Jan 2027 | Personal research, not investment advice.</t>
  </si>
  <si>
    <t xml:space="preserve">Company</t>
  </si>
  <si>
    <t xml:space="preserve">Nvidia Corporation (Nasdaq: NVDA)</t>
  </si>
  <si>
    <t xml:space="preserve">Note date</t>
  </si>
  <si>
    <t xml:space="preserve">2 November 2026</t>
  </si>
  <si>
    <t xml:space="preserve">Price</t>
  </si>
  <si>
    <t xml:space="preserve">US$204.64, Nasdaq close 30 October 2026</t>
  </si>
  <si>
    <t xml:space="preserve">Call</t>
  </si>
  <si>
    <t xml:space="preserve">LONG, Low conviction, target US$245</t>
  </si>
  <si>
    <t xml:space="preserve">Base value</t>
  </si>
  <si>
    <t xml:space="preserve">Tabs</t>
  </si>
  <si>
    <t xml:space="preserve">Assumptions, Quarterly, Gigawatts, Financials, Scenarios, Sensitivity, Valuation, Peers</t>
  </si>
  <si>
    <t xml:space="preserve">Colour code</t>
  </si>
  <si>
    <t xml:space="preserve">Blue = input; yellow fill = my assumption; green = link to Assumptions; black = formula</t>
  </si>
  <si>
    <t xml:space="preserve">Journal</t>
  </si>
  <si>
    <t xml:space="preserve">https://thephysicallayer.fyi/journal/memory-not-maths/ and the pieces on the rack, the network and capacity stages</t>
  </si>
  <si>
    <t xml:space="preserve">Research</t>
  </si>
  <si>
    <t xml:space="preserve">https://thephysicallayer.fyi/research/</t>
  </si>
  <si>
    <t xml:space="preserve">Disclaimer</t>
  </si>
  <si>
    <t xml:space="preserve">I hold no position in Nvidia. Personal research, not investment advice.</t>
  </si>
  <si>
    <t xml:space="preserve">ASSUMPTIONS AND INPUTS</t>
  </si>
  <si>
    <t xml:space="preserve">Blue = hardcoded input. Yellow fill = my own assumption (change these to move the value). Green = link to this tab. Black = formula. US$ billion unless stated; per-share figures in US$; shares in billions.</t>
  </si>
  <si>
    <t xml:space="preserve">Input</t>
  </si>
  <si>
    <t xml:space="preserve">Value</t>
  </si>
  <si>
    <t xml:space="preserve">Unit</t>
  </si>
  <si>
    <t xml:space="preserve">Source / note</t>
  </si>
  <si>
    <t xml:space="preserve">MARKET (retrieved 2 November 2026)</t>
  </si>
  <si>
    <t xml:space="preserve">Share price (Nasdaq: NVDA)</t>
  </si>
  <si>
    <t xml:space="preserve">US$</t>
  </si>
  <si>
    <t xml:space="preserve">Nasdaq close, 30 October 2026. Nasdaq.com historical data (Yahoo Finance answered 'Too Many Requests').</t>
  </si>
  <si>
    <t xml:space="preserve">52-week high (intraday, 6 October 2026)</t>
  </si>
  <si>
    <t xml:space="preserve">Nasdaq.com.</t>
  </si>
  <si>
    <t xml:space="preserve">Highest close (6 October 2026)</t>
  </si>
  <si>
    <t xml:space="preserve">52-week low (intraday, 30 March 2026)</t>
  </si>
  <si>
    <t xml:space="preserve">Lowest close in 52 weeks (30 March 2026)</t>
  </si>
  <si>
    <t xml:space="preserve">Close, 31 December 2025</t>
  </si>
  <si>
    <t xml:space="preserve">Shares outstanding, 21 August 2026</t>
  </si>
  <si>
    <t xml:space="preserve">bn</t>
  </si>
  <si>
    <t xml:space="preserve">Form 10-Q cover: 24.1 billion.</t>
  </si>
  <si>
    <t xml:space="preserve">Cash, equivalents and marketable debt securities, 26 Jul 2026</t>
  </si>
  <si>
    <t xml:space="preserve">US$bn</t>
  </si>
  <si>
    <t xml:space="preserve">10-Q balance sheet: 22.443 + 34.143.</t>
  </si>
  <si>
    <t xml:space="preserve">Short and long-term debt, 26 Jul 2026</t>
  </si>
  <si>
    <t xml:space="preserve">10-Q balance sheet: 1.000 + 32.366. Marketable equity securities of US$42.8bn are not counted.</t>
  </si>
  <si>
    <t xml:space="preserve">FY27 consensus EPS</t>
  </si>
  <si>
    <t xml:space="preserve">stockanalysis.com (S&amp;P Global, updated 26 Oct 2026), 54 analysts; range 9.01 to 10.10.</t>
  </si>
  <si>
    <t xml:space="preserve">FY27 consensus revenue</t>
  </si>
  <si>
    <t xml:space="preserve">Same; range 403.2 to 426.9.</t>
  </si>
  <si>
    <t xml:space="preserve">FY28 consensus EPS</t>
  </si>
  <si>
    <t xml:space="preserve">Same page, shown as 'EPS Next Year'. FY28 detail is behind a paywall.</t>
  </si>
  <si>
    <t xml:space="preserve">FY28 consensus revenue</t>
  </si>
  <si>
    <t xml:space="preserve">Same page, shown as 'Revenue Next Year'.</t>
  </si>
  <si>
    <t xml:space="preserve">Average analyst target</t>
  </si>
  <si>
    <t xml:space="preserve">stockanalysis.com, 62 analysts; median 315, range 180 to 515.</t>
  </si>
  <si>
    <t xml:space="preserve">Forward P/E shown by stockanalysis.com</t>
  </si>
  <si>
    <t xml:space="preserve">x</t>
  </si>
  <si>
    <t xml:space="preserve">stockanalysis.com, at the 30 October 2026 close.</t>
  </si>
  <si>
    <t xml:space="preserve">REPORTED AND GUIDED (CFO commentaries, 10-Q, 8-K)</t>
  </si>
  <si>
    <t xml:space="preserve">Q3 FY27 revenue guide</t>
  </si>
  <si>
    <t xml:space="preserve">Q2 FY27 CFO commentary, 26 Aug 2026: US$108.0bn, plus or minus 2%.</t>
  </si>
  <si>
    <t xml:space="preserve">Q3 FY27 gross margin guide</t>
  </si>
  <si>
    <t xml:space="preserve">%</t>
  </si>
  <si>
    <t xml:space="preserve">Same: 74.0%, plus or minus 50 basis points.</t>
  </si>
  <si>
    <t xml:space="preserve">Q3 FY27 non-GAAP operating expenses guide</t>
  </si>
  <si>
    <t xml:space="preserve">Same: approximately US$9.0bn.</t>
  </si>
  <si>
    <t xml:space="preserve">PORTS campus, IT load under the guarantees</t>
  </si>
  <si>
    <t xml:space="preserve">GW</t>
  </si>
  <si>
    <t xml:space="preserve">Form 8-K, 17 Aug 2026: approximately 4.25 GW of IT load; option on about 3.8 GW more.</t>
  </si>
  <si>
    <t xml:space="preserve">Nvidia revenue per generation at PORTS, low</t>
  </si>
  <si>
    <t xml:space="preserve">Q2 FY27 CFO commentary: about 1.5 million GPUs, or about US$150bn to US$200bn.</t>
  </si>
  <si>
    <t xml:space="preserve">Nvidia revenue per generation at PORTS, high</t>
  </si>
  <si>
    <t xml:space="preserve">Same.</t>
  </si>
  <si>
    <t xml:space="preserve">Vertiv opportunity per MW, low</t>
  </si>
  <si>
    <t xml:space="preserve">US$m</t>
  </si>
  <si>
    <t xml:space="preserve">Vertiv 2026 Investor Conference, 19 May 2026 (management estimate), as in the journal.</t>
  </si>
  <si>
    <t xml:space="preserve">Vertiv opportunity per MW, high</t>
  </si>
  <si>
    <t xml:space="preserve">MY ASSUMPTIONS</t>
  </si>
  <si>
    <t xml:space="preserve">Edge Computing revenue, Q3 FY27</t>
  </si>
  <si>
    <t xml:space="preserve">MINE. Q2 was US$7.198bn.</t>
  </si>
  <si>
    <t xml:space="preserve">Edge Computing revenue, Q4 FY27</t>
  </si>
  <si>
    <t xml:space="preserve">MINE.</t>
  </si>
  <si>
    <t xml:space="preserve">Revenue, Q4 FY27</t>
  </si>
  <si>
    <t xml:space="preserve">MINE. 13% above the Q3 guide; consensus implies about US$126bn.</t>
  </si>
  <si>
    <t xml:space="preserve">Non-GAAP operating margin, Q4 FY27</t>
  </si>
  <si>
    <t xml:space="preserve">MINE. Q3 guide implies 65.7%; Q2 was 66.5%.</t>
  </si>
  <si>
    <t xml:space="preserve">Non-GAAP other income a quarter, Q3 and Q4 FY27</t>
  </si>
  <si>
    <t xml:space="preserve">MINE. Q2 was US$0.300bn, Q1 US$0.457bn.</t>
  </si>
  <si>
    <t xml:space="preserve">Non-GAAP tax rate</t>
  </si>
  <si>
    <t xml:space="preserve">MINE, within the 16% to 18% guide for FY27; held for FY28 and FY29.</t>
  </si>
  <si>
    <t xml:space="preserve">Diluted shares, Q3 and Q4 FY27</t>
  </si>
  <si>
    <t xml:space="preserve">MINE. Q2 was 24.285bn.</t>
  </si>
  <si>
    <t xml:space="preserve">Growth in GW of IT load equipped with Nvidia systems, FY28 (base)</t>
  </si>
  <si>
    <t xml:space="preserve">MINE. The pace of the physical layer: equipment makers' plans, energised but idle halls, on-site power.</t>
  </si>
  <si>
    <t xml:space="preserve">Growth in GW equipped, FY29 (base)</t>
  </si>
  <si>
    <t xml:space="preserve">Rise in Nvidia revenue per GW, FY28 (base)</t>
  </si>
  <si>
    <t xml:space="preserve">MINE. Vera Rubin began production shipments in Q3 FY27 (10-Q).</t>
  </si>
  <si>
    <t xml:space="preserve">Rise in Nvidia revenue per GW, FY29 (base)</t>
  </si>
  <si>
    <t xml:space="preserve">Edge Computing revenue, FY28</t>
  </si>
  <si>
    <t xml:space="preserve">Edge Computing revenue, FY29</t>
  </si>
  <si>
    <t xml:space="preserve">Non-GAAP operating margin, FY28 (base)</t>
  </si>
  <si>
    <t xml:space="preserve">MINE. Supply commitments rose to US$279bn, mainly memory; memory costs press the margin.</t>
  </si>
  <si>
    <t xml:space="preserve">Non-GAAP operating margin, FY29 (base)</t>
  </si>
  <si>
    <t xml:space="preserve">Non-GAAP other income a year, FY28 and FY29</t>
  </si>
  <si>
    <t xml:space="preserve">Diluted shares, FY28</t>
  </si>
  <si>
    <t xml:space="preserve">MINE. Buybacks net of dilution.</t>
  </si>
  <si>
    <t xml:space="preserve">Diluted shares, FY29</t>
  </si>
  <si>
    <t xml:space="preserve">Multiple on FY29 EPS (base)</t>
  </si>
  <si>
    <t xml:space="preserve">MINE. Today's forward P/E is 16.9x (stockanalysis.com), rounded down.</t>
  </si>
  <si>
    <t xml:space="preserve">QUARTERLY HISTORY, Q1 FY25 TO Q2 FY27, THE Q3 FY27 GUIDE AND MY Q4</t>
  </si>
  <si>
    <t xml:space="preserve">US$ billion unless stated</t>
  </si>
  <si>
    <t xml:space="preserve">Q1 FY25</t>
  </si>
  <si>
    <t xml:space="preserve">Q2 FY25</t>
  </si>
  <si>
    <t xml:space="preserve">Q3 FY25</t>
  </si>
  <si>
    <t xml:space="preserve">Q4 FY25</t>
  </si>
  <si>
    <t xml:space="preserve">Q1 FY26</t>
  </si>
  <si>
    <t xml:space="preserve">Q2 FY26</t>
  </si>
  <si>
    <t xml:space="preserve">Q3 FY26</t>
  </si>
  <si>
    <t xml:space="preserve">Q4 FY26</t>
  </si>
  <si>
    <t xml:space="preserve">Q1 FY27</t>
  </si>
  <si>
    <t xml:space="preserve">Q2 FY27</t>
  </si>
  <si>
    <t xml:space="preserve">Q3 FY27E</t>
  </si>
  <si>
    <t xml:space="preserve">Q4 FY27E</t>
  </si>
  <si>
    <t xml:space="preserve">Revenue</t>
  </si>
  <si>
    <t xml:space="preserve">Data Center</t>
  </si>
  <si>
    <t xml:space="preserve">Everything else (Edge Computing from FY27)</t>
  </si>
  <si>
    <t xml:space="preserve">Data Center share of revenue</t>
  </si>
  <si>
    <t xml:space="preserve">Data Center growth on a year earlier</t>
  </si>
  <si>
    <t xml:space="preserve">Non-GAAP operating income (FY27 basis)</t>
  </si>
  <si>
    <t xml:space="preserve">Non-GAAP operating margin</t>
  </si>
  <si>
    <t xml:space="preserve">Non-GAAP net income</t>
  </si>
  <si>
    <t xml:space="preserve">Diluted shares, bn</t>
  </si>
  <si>
    <t xml:space="preserve">Non-GAAP diluted EPS, US$ (reported; Q3 and Q4 mine)</t>
  </si>
  <si>
    <t xml:space="preserve">Checks</t>
  </si>
  <si>
    <t xml:space="preserve">Data Center share of revenue, Q2 FY27</t>
  </si>
  <si>
    <t xml:space="preserve">Data Center growth, Q2 FY27 on Q2 FY26</t>
  </si>
  <si>
    <t xml:space="preserve">Q3 FY27E non-GAAP operating margin implied by the guide</t>
  </si>
  <si>
    <t xml:space="preserve">Q3 FY27E EPS</t>
  </si>
  <si>
    <t xml:space="preserve">Q4 FY27E EPS</t>
  </si>
  <si>
    <t xml:space="preserve">Source: Nvidia CFO commentaries, Q3 FY25 to Q2 FY27, with comparative columns. Q1 FY27 diluted shares 24.391bn (Q2 commentary).</t>
  </si>
  <si>
    <t xml:space="preserve">Q1 and Q2 FY27 non-GAAP include stock-based pay (Nvidia's basis from Q1 FY27). Q3 FY27E uses the guide of 26 August 2026; Q4 FY27E is mine.</t>
  </si>
  <si>
    <t xml:space="preserve">Data Center sub-markets, Q2 FY27: Hyperscale US$48.710bn, AI Clouds, Industrial and Enterprise US$40.313bn (Q1 recast: 43.050 and 32.196).</t>
  </si>
  <si>
    <t xml:space="preserve">DATA CENTER REVENUE TRANSLATED INTO GIGAWATTS OF IT LOAD A YEAR</t>
  </si>
  <si>
    <t xml:space="preserve">The yardstick is Nvidia's own: about US$150bn to US$200bn of revenue for about 4.25 GW of IT load at PORTS, ready from 2028 (FY29).</t>
  </si>
  <si>
    <t xml:space="preserve">Nvidia revenue per GW of IT load, low (US$bn)</t>
  </si>
  <si>
    <t xml:space="preserve">Nvidia revenue per GW of IT load, high (US$bn)</t>
  </si>
  <si>
    <t xml:space="preserve">Midpoint, set to FY29 (US$bn per GW)</t>
  </si>
  <si>
    <t xml:space="preserve">FY28 revenue per GW (midpoint deflated by my FY29 rise)</t>
  </si>
  <si>
    <t xml:space="preserve">FY27 revenue per GW (and FY26), deflated by my FY28 rise</t>
  </si>
  <si>
    <t xml:space="preserve">Low end of the PORTS range against its midpoint</t>
  </si>
  <si>
    <t xml:space="preserve">High end against its midpoint</t>
  </si>
  <si>
    <t xml:space="preserve">Nvidia revenue per GW against Vertiv's opportunity per GW, low</t>
  </si>
  <si>
    <t xml:space="preserve">Same, high</t>
  </si>
  <si>
    <t xml:space="preserve">Year</t>
  </si>
  <si>
    <t xml:space="preserve">Data Center revenue</t>
  </si>
  <si>
    <t xml:space="preserve">US$bn per GW</t>
  </si>
  <si>
    <t xml:space="preserve">GW, central</t>
  </si>
  <si>
    <t xml:space="preserve">GW, low</t>
  </si>
  <si>
    <t xml:space="preserve">GW, high</t>
  </si>
  <si>
    <t xml:space="preserve">FY26 actual</t>
  </si>
  <si>
    <t xml:space="preserve">FY27E mine</t>
  </si>
  <si>
    <t xml:space="preserve">FY28E mine</t>
  </si>
  <si>
    <t xml:space="preserve">FY28 consensus (revenue less my Edge)</t>
  </si>
  <si>
    <t xml:space="preserve">FY29E mine</t>
  </si>
  <si>
    <t xml:space="preserve">GW growth consensus FY28 needs, at my FY28 rise in revenue per GW</t>
  </si>
  <si>
    <t xml:space="preserve">GW growth in my FY28 base</t>
  </si>
  <si>
    <t xml:space="preserve">FY27 GW at the undeflated PORTS range, low</t>
  </si>
  <si>
    <t xml:space="preserve">FY27 GW at the undeflated PORTS range, high</t>
  </si>
  <si>
    <t xml:space="preserve">The PORTS figure is Nvidia's own (CFO commentary, 26 Aug 2026; Form 8-K, 17 Aug 2026). Setting it to FY29 and deflating it for earlier years is my method.</t>
  </si>
  <si>
    <t xml:space="preserve">IT load is the power drawn by the computers, before cooling and other losses; the grid connection is larger.</t>
  </si>
  <si>
    <t xml:space="preserve">Revenue is booked when systems ship, not when they are switched on, and some systems will refit halls already powered; the GW are a yardstick, not a count.</t>
  </si>
  <si>
    <t xml:space="preserve">FINANCIAL SUMMARY AND FORECASTS (US$ billion unless stated)</t>
  </si>
  <si>
    <t xml:space="preserve">FY25A</t>
  </si>
  <si>
    <t xml:space="preserve">FY26A</t>
  </si>
  <si>
    <t xml:space="preserve">FY27E*</t>
  </si>
  <si>
    <t xml:space="preserve">FY28E*</t>
  </si>
  <si>
    <t xml:space="preserve">FY29E*</t>
  </si>
  <si>
    <t xml:space="preserve">Edge Computing and other</t>
  </si>
  <si>
    <t xml:space="preserve">Revenue growth</t>
  </si>
  <si>
    <t xml:space="preserve">Non-GAAP operating income</t>
  </si>
  <si>
    <t xml:space="preserve">Other income, net</t>
  </si>
  <si>
    <t xml:space="preserve">Tax rate</t>
  </si>
  <si>
    <t xml:space="preserve">Diluted EPS, US$ (FY25 and FY26 GAAP; then non-GAAP)</t>
  </si>
  <si>
    <t xml:space="preserve">EPS growth</t>
  </si>
  <si>
    <t xml:space="preserve">P/E at reference price</t>
  </si>
  <si>
    <t xml:space="preserve">Consensus EPS, US$</t>
  </si>
  <si>
    <t xml:space="preserve">Mine against consensus</t>
  </si>
  <si>
    <t xml:space="preserve">P/E on consensus</t>
  </si>
  <si>
    <t xml:space="preserve">Consensus revenue</t>
  </si>
  <si>
    <t xml:space="preserve">My revenue against consensus</t>
  </si>
  <si>
    <t xml:space="preserve">*FY27E sums two reported quarters, the Q3 guide and my Q4 (Quarterly tab). FY28E and FY29E are the base case (Scenarios row 6).</t>
  </si>
  <si>
    <t xml:space="preserve">FY25 and FY26 as reported. Their non-GAAP EPS excluding stock-based pay was US$2.99 and US$4.77; from FY27 Nvidia's non-GAAP includes it.</t>
  </si>
  <si>
    <t xml:space="preserve">Consensus from stockanalysis.com (S&amp;P Global data, last updated 26 October 2026); FY28 is the page's 'next year' figure.</t>
  </si>
  <si>
    <t xml:space="preserve">THREE CASES, TWELVE MONTHS OUT (MULTIPLE OF FY29E EPS)</t>
  </si>
  <si>
    <t xml:space="preserve">Case</t>
  </si>
  <si>
    <t xml:space="preserve">GW FY28</t>
  </si>
  <si>
    <t xml:space="preserve">GW FY29</t>
  </si>
  <si>
    <t xml:space="preserve">US$/GW FY28</t>
  </si>
  <si>
    <t xml:space="preserve">US$/GW FY29</t>
  </si>
  <si>
    <t xml:space="preserve">Op. margin FY28</t>
  </si>
  <si>
    <t xml:space="preserve">Op. margin FY29</t>
  </si>
  <si>
    <t xml:space="preserve">Multiple</t>
  </si>
  <si>
    <t xml:space="preserve">Weight</t>
  </si>
  <si>
    <t xml:space="preserve">DC FY28</t>
  </si>
  <si>
    <t xml:space="preserve">DC FY29</t>
  </si>
  <si>
    <t xml:space="preserve">Revenue FY28</t>
  </si>
  <si>
    <t xml:space="preserve">Revenue FY29</t>
  </si>
  <si>
    <t xml:space="preserve">EPS FY28</t>
  </si>
  <si>
    <t xml:space="preserve">EPS FY29</t>
  </si>
  <si>
    <t xml:space="preserve">Value, US$</t>
  </si>
  <si>
    <t xml:space="preserve">vs price</t>
  </si>
  <si>
    <t xml:space="preserve">Bear</t>
  </si>
  <si>
    <t xml:space="preserve">Base</t>
  </si>
  <si>
    <t xml:space="preserve">Bull</t>
  </si>
  <si>
    <t xml:space="preserve">Weighted</t>
  </si>
  <si>
    <t xml:space="preserve">Bear: power barely grows for Nvidia systems (GW +5%, then flat) and the market pays 11x. Base: GW +20% then +15%, about the pace of the equipment queues.</t>
  </si>
  <si>
    <t xml:space="preserve">Bull: consensus-like growth (GW +50% then +30%) and 18x. Yellow cells are my assumptions; the base row links to the Assumptions tab.</t>
  </si>
  <si>
    <t xml:space="preserve">SENSITIVITY: FY28 GW GROWTH AGAINST THE MULTIPLE (FY29 GW GROWTH HELD AT THE BASE)</t>
  </si>
  <si>
    <t xml:space="preserve">FY28 GW growth</t>
  </si>
  <si>
    <t xml:space="preserve">12x</t>
  </si>
  <si>
    <t xml:space="preserve">16x</t>
  </si>
  <si>
    <t xml:space="preserve">20x</t>
  </si>
  <si>
    <t xml:space="preserve">Cells above the price</t>
  </si>
  <si>
    <t xml:space="preserve">Cells more than 15% above</t>
  </si>
  <si>
    <t xml:space="preserve">Row 3 holds the multiples. Every cell uses the base margins, Edge revenue and revenue-per-GW rises.</t>
  </si>
  <si>
    <t xml:space="preserve">VALUATION SUMMARY AND THE CALL</t>
  </si>
  <si>
    <t xml:space="preserve">Share price</t>
  </si>
  <si>
    <t xml:space="preserve">Market value, US$bn</t>
  </si>
  <si>
    <t xml:space="preserve">Net cash, US$bn (cash and debt securities less debt)</t>
  </si>
  <si>
    <t xml:space="preserve">Enterprise value, US$bn</t>
  </si>
  <si>
    <t xml:space="preserve">FY29E EPS, base</t>
  </si>
  <si>
    <t xml:space="preserve">Multiple, base</t>
  </si>
  <si>
    <t xml:space="preserve">Base value per share</t>
  </si>
  <si>
    <t xml:space="preserve">Base against price</t>
  </si>
  <si>
    <t xml:space="preserve">Probability-weighted value</t>
  </si>
  <si>
    <t xml:space="preserve">Rule on the base value (long at +15%, short at -25%)</t>
  </si>
  <si>
    <t xml:space="preserve">Call (Tommy Lau, 2 November 2026)</t>
  </si>
  <si>
    <t xml:space="preserve">LONG</t>
  </si>
  <si>
    <t xml:space="preserve">Target (base rounded to the nearest US$5)</t>
  </si>
  <si>
    <t xml:space="preserve">FY29 EPS the price needs at the base multiple</t>
  </si>
  <si>
    <t xml:space="preserve">FY29 EPS if GW and revenue per GW stop growing in FY29</t>
  </si>
  <si>
    <t xml:space="preserve">P/E on my FY27E / FY28E / FY29E</t>
  </si>
  <si>
    <t xml:space="preserve">P/E on consensus FY27 / FY28</t>
  </si>
  <si>
    <t xml:space="preserve">Below the highest close</t>
  </si>
  <si>
    <t xml:space="preserve">Change since 31 December 2025</t>
  </si>
  <si>
    <t xml:space="preserve">Guarantees, maximum gross exposure, US$bn</t>
  </si>
  <si>
    <t xml:space="preserve">Guarantees against net cash</t>
  </si>
  <si>
    <t xml:space="preserve">Call: LONG, Low conviction, target US$245.</t>
  </si>
  <si>
    <t xml:space="preserve">Wrong if: Data Center revenue falls from one quarter to the next in any quarter Nvidia reports before October 2027, or its non-GAAP gross margin falls below 70% in any of those quarters, or Nvidia makes a payment under any of its land, power and shell guarantees.</t>
  </si>
  <si>
    <t xml:space="preserve">PEER MULTIPLES (stockanalysis.com forward P/E, at the 30 October 2026 close)</t>
  </si>
  <si>
    <t xml:space="preserve">Ticker</t>
  </si>
  <si>
    <t xml:space="preserve">Forward P/E</t>
  </si>
  <si>
    <t xml:space="preserve">What they make</t>
  </si>
  <si>
    <t xml:space="preserve">Nvidia</t>
  </si>
  <si>
    <t xml:space="preserve">Nasdaq: NVDA</t>
  </si>
  <si>
    <t xml:space="preserve">GPUs, rack-scale systems, NVLink, InfiniBand and Ethernet networking</t>
  </si>
  <si>
    <t xml:space="preserve">Broadcom</t>
  </si>
  <si>
    <t xml:space="preserve">Nasdaq: AVGO</t>
  </si>
  <si>
    <t xml:space="preserve">Custom AI chips and Ethernet switch chips</t>
  </si>
  <si>
    <t xml:space="preserve">TSMC</t>
  </si>
  <si>
    <t xml:space="preserve">NYSE: TSM</t>
  </si>
  <si>
    <t xml:space="preserve">Foundry and CoWoS packaging for Nvidia's chips</t>
  </si>
  <si>
    <t xml:space="preserve">AMD</t>
  </si>
  <si>
    <t xml:space="preserve">Nasdaq: AMD</t>
  </si>
  <si>
    <t xml:space="preserve">GPUs and CPUs for data centres</t>
  </si>
  <si>
    <t xml:space="preserve">Marvell</t>
  </si>
  <si>
    <t xml:space="preserve">Nasdaq: MRVL</t>
  </si>
  <si>
    <t xml:space="preserve">Custom AI chips and optical DSPs</t>
  </si>
  <si>
    <t xml:space="preserve">Micron</t>
  </si>
  <si>
    <t xml:space="preserve">Nasdaq: MU</t>
  </si>
  <si>
    <t xml:space="preserve">DRAM and HBM, one of Nvidia's three memory suppliers</t>
  </si>
  <si>
    <t xml:space="preserve">Median of the five peers</t>
  </si>
  <si>
    <t xml:space="preserve">Multiples only; no view on the peers' shares. Micron's multiple reflects peak memory earnings.</t>
  </si>
</sst>
</file>

<file path=xl/styles.xml><?xml version="1.0" encoding="utf-8"?>
<styleSheet xmlns="http://schemas.openxmlformats.org/spreadsheetml/2006/main">
  <numFmts count="11">
    <numFmt numFmtId="164" formatCode="General"/>
    <numFmt numFmtId="165" formatCode="&quot;US$&quot;#,##0.00"/>
    <numFmt numFmtId="166" formatCode="#,##0.00"/>
    <numFmt numFmtId="167" formatCode="#,##0.000"/>
    <numFmt numFmtId="168" formatCode="0\x"/>
    <numFmt numFmtId="169" formatCode="0.0%"/>
    <numFmt numFmtId="170" formatCode="0.0\x"/>
    <numFmt numFmtId="171" formatCode="#,##0.0"/>
    <numFmt numFmtId="172" formatCode="0%"/>
    <numFmt numFmtId="173" formatCode="&quot;US$&quot;#,##0"/>
    <numFmt numFmtId="174" formatCode="0"/>
  </numFmts>
  <fonts count="14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2"/>
      <color rgb="FF1F3864"/>
      <name val="Cambria"/>
      <family val="0"/>
      <charset val="1"/>
    </font>
    <font>
      <sz val="9"/>
      <color rgb="FF595959"/>
      <name val="Cambria"/>
      <family val="0"/>
      <charset val="1"/>
    </font>
    <font>
      <b val="true"/>
      <sz val="11"/>
      <name val="Cambria"/>
      <family val="0"/>
      <charset val="1"/>
    </font>
    <font>
      <i val="true"/>
      <sz val="9"/>
      <color rgb="FF595959"/>
      <name val="Cambria"/>
      <family val="0"/>
      <charset val="1"/>
    </font>
    <font>
      <b val="true"/>
      <sz val="10"/>
      <color rgb="FFFFFFFF"/>
      <name val="Cambria"/>
      <family val="0"/>
      <charset val="1"/>
    </font>
    <font>
      <b val="true"/>
      <sz val="11"/>
      <color rgb="FF1F3864"/>
      <name val="Cambria"/>
      <family val="0"/>
      <charset val="1"/>
    </font>
    <font>
      <sz val="11"/>
      <color rgb="FF0000FF"/>
      <name val="Cambria"/>
      <family val="0"/>
      <charset val="1"/>
    </font>
    <font>
      <b val="true"/>
      <sz val="11"/>
      <color rgb="FF0000FF"/>
      <name val="Cambria"/>
      <family val="0"/>
      <charset val="1"/>
    </font>
    <font>
      <sz val="11"/>
      <color rgb="FF008000"/>
      <name val="Cambria"/>
      <family val="0"/>
      <charset val="1"/>
    </font>
    <font>
      <sz val="11"/>
      <name val="Cambria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1F3864"/>
        <bgColor rgb="FF333333"/>
      </patternFill>
    </fill>
    <fill>
      <patternFill patternType="solid">
        <fgColor rgb="FFFFFF00"/>
        <bgColor rgb="FFFFFF00"/>
      </patternFill>
    </fill>
    <fill>
      <patternFill patternType="solid">
        <fgColor rgb="FFD9E2F3"/>
        <bgColor rgb="FFCCFFFF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2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4" fontId="8" fillId="2" borderId="0" xfId="0" applyFont="true" applyBorder="false" applyAlignment="true" applyProtection="false">
      <alignment horizontal="right" vertical="center" textRotation="0" wrapText="tru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7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11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11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11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10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7" fontId="12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0" fillId="0" borderId="0" xfId="0" applyFont="false" applyBorder="false" applyAlignment="true" applyProtection="false">
      <alignment horizontal="right" vertical="bottom" textRotation="0" wrapText="false" indent="0" shrinkToFit="false"/>
      <protection locked="true" hidden="false"/>
    </xf>
    <xf numFmtId="169" fontId="0" fillId="0" borderId="0" xfId="0" applyFont="false" applyBorder="false" applyAlignment="true" applyProtection="false">
      <alignment horizontal="right" vertical="bottom" textRotation="0" wrapText="false" indent="0" shrinkToFit="false"/>
      <protection locked="true" hidden="false"/>
    </xf>
    <xf numFmtId="165" fontId="10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5" fontId="0" fillId="0" borderId="0" xfId="0" applyFont="false" applyBorder="false" applyAlignment="true" applyProtection="false">
      <alignment horizontal="right" vertical="bottom" textRotation="0" wrapText="false" indent="0" shrinkToFit="false"/>
      <protection locked="true" hidden="false"/>
    </xf>
    <xf numFmtId="169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12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6" fontId="6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6" fontId="0" fillId="0" borderId="0" xfId="0" applyFont="false" applyBorder="false" applyAlignment="true" applyProtection="false">
      <alignment horizontal="right" vertical="bottom" textRotation="0" wrapText="false" indent="0" shrinkToFit="false"/>
      <protection locked="true" hidden="false"/>
    </xf>
    <xf numFmtId="170" fontId="0" fillId="0" borderId="0" xfId="0" applyFont="false" applyBorder="false" applyAlignment="true" applyProtection="false">
      <alignment horizontal="right" vertical="bottom" textRotation="0" wrapText="false" indent="0" shrinkToFit="false"/>
      <protection locked="true" hidden="false"/>
    </xf>
    <xf numFmtId="171" fontId="0" fillId="0" borderId="0" xfId="0" applyFont="false" applyBorder="false" applyAlignment="true" applyProtection="false">
      <alignment horizontal="right" vertical="bottom" textRotation="0" wrapText="false" indent="0" shrinkToFit="false"/>
      <protection locked="true" hidden="false"/>
    </xf>
    <xf numFmtId="171" fontId="6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71" fontId="12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9" fontId="6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71" fontId="10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9" fontId="12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70" fontId="12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5" fontId="12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72" fontId="10" fillId="3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9" fontId="10" fillId="3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8" fontId="10" fillId="3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73" fontId="6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72" fontId="12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8" fontId="12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72" fontId="0" fillId="0" borderId="0" xfId="0" applyFont="false" applyBorder="false" applyAlignment="true" applyProtection="false">
      <alignment horizontal="right" vertical="bottom" textRotation="0" wrapText="false" indent="0" shrinkToFit="false"/>
      <protection locked="true" hidden="false"/>
    </xf>
    <xf numFmtId="168" fontId="10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72" fontId="10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73" fontId="0" fillId="0" borderId="0" xfId="0" applyFont="false" applyBorder="false" applyAlignment="true" applyProtection="false">
      <alignment horizontal="right" vertical="bottom" textRotation="0" wrapText="false" indent="0" shrinkToFit="false"/>
      <protection locked="true" hidden="false"/>
    </xf>
    <xf numFmtId="174" fontId="0" fillId="0" borderId="0" xfId="0" applyFont="false" applyBorder="false" applyAlignment="true" applyProtection="false">
      <alignment horizontal="right" vertical="bottom" textRotation="0" wrapText="false" indent="0" shrinkToFit="false"/>
      <protection locked="true" hidden="false"/>
    </xf>
    <xf numFmtId="165" fontId="6" fillId="4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6" fillId="4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73" fontId="0" fillId="4" borderId="0" xfId="0" applyFont="fals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70" fontId="10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9E2F3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95959"/>
      <rgbColor rgb="FF969696"/>
      <rgbColor rgb="FF1F3864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worksheet" Target="worksheets/sheet9.xml"/><Relationship Id="rId12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 pitchFamily="0" charset="1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13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34"/>
    <col collapsed="false" customWidth="true" hidden="false" outlineLevel="0" max="2" min="2" style="0" width="26"/>
    <col collapsed="false" customWidth="true" hidden="false" outlineLevel="0" max="3" min="3" style="0" width="96"/>
  </cols>
  <sheetData>
    <row r="1" customFormat="false" ht="15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4" customFormat="false" ht="15" hidden="false" customHeight="false" outlineLevel="0" collapsed="false">
      <c r="A4" s="3" t="s">
        <v>2</v>
      </c>
      <c r="B4" s="0" t="s">
        <v>3</v>
      </c>
    </row>
    <row r="5" customFormat="false" ht="15" hidden="false" customHeight="false" outlineLevel="0" collapsed="false">
      <c r="A5" s="3" t="s">
        <v>4</v>
      </c>
      <c r="B5" s="0" t="s">
        <v>5</v>
      </c>
    </row>
    <row r="6" customFormat="false" ht="15" hidden="false" customHeight="false" outlineLevel="0" collapsed="false">
      <c r="A6" s="3" t="s">
        <v>6</v>
      </c>
      <c r="B6" s="0" t="s">
        <v>7</v>
      </c>
    </row>
    <row r="7" customFormat="false" ht="15" hidden="false" customHeight="false" outlineLevel="0" collapsed="false">
      <c r="A7" s="3" t="s">
        <v>8</v>
      </c>
      <c r="B7" s="0" t="s">
        <v>9</v>
      </c>
    </row>
    <row r="8" customFormat="false" ht="15" hidden="false" customHeight="false" outlineLevel="0" collapsed="false">
      <c r="A8" s="3" t="s">
        <v>10</v>
      </c>
      <c r="B8" s="4" t="n">
        <f aca="false">Valuation!B10</f>
        <v>244.148798495066</v>
      </c>
    </row>
    <row r="9" customFormat="false" ht="15" hidden="false" customHeight="false" outlineLevel="0" collapsed="false">
      <c r="A9" s="3" t="s">
        <v>11</v>
      </c>
      <c r="B9" s="0" t="s">
        <v>12</v>
      </c>
    </row>
    <row r="10" customFormat="false" ht="15" hidden="false" customHeight="false" outlineLevel="0" collapsed="false">
      <c r="A10" s="3" t="s">
        <v>13</v>
      </c>
      <c r="B10" s="0" t="s">
        <v>14</v>
      </c>
    </row>
    <row r="11" customFormat="false" ht="15" hidden="false" customHeight="false" outlineLevel="0" collapsed="false">
      <c r="A11" s="3" t="s">
        <v>15</v>
      </c>
      <c r="B11" s="0" t="s">
        <v>16</v>
      </c>
    </row>
    <row r="12" customFormat="false" ht="15" hidden="false" customHeight="false" outlineLevel="0" collapsed="false">
      <c r="A12" s="3" t="s">
        <v>17</v>
      </c>
      <c r="B12" s="0" t="s">
        <v>18</v>
      </c>
    </row>
    <row r="13" customFormat="false" ht="15" hidden="false" customHeight="false" outlineLevel="0" collapsed="false">
      <c r="A13" s="3" t="s">
        <v>19</v>
      </c>
      <c r="B13" s="0" t="s">
        <v>20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5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62"/>
    <col collapsed="false" customWidth="true" hidden="false" outlineLevel="0" max="2" min="2" style="0" width="14"/>
    <col collapsed="false" customWidth="true" hidden="false" outlineLevel="0" max="3" min="3" style="0" width="10"/>
    <col collapsed="false" customWidth="true" hidden="false" outlineLevel="0" max="4" min="4" style="0" width="96"/>
  </cols>
  <sheetData>
    <row r="1" customFormat="false" ht="15" hidden="false" customHeight="false" outlineLevel="0" collapsed="false">
      <c r="A1" s="1" t="s">
        <v>21</v>
      </c>
    </row>
    <row r="2" customFormat="false" ht="15" hidden="false" customHeight="false" outlineLevel="0" collapsed="false">
      <c r="A2" s="2" t="s">
        <v>1</v>
      </c>
    </row>
    <row r="3" customFormat="false" ht="15" hidden="false" customHeight="false" outlineLevel="0" collapsed="false">
      <c r="A3" s="5" t="s">
        <v>22</v>
      </c>
    </row>
    <row r="5" customFormat="false" ht="15" hidden="false" customHeight="false" outlineLevel="0" collapsed="false">
      <c r="A5" s="6" t="s">
        <v>23</v>
      </c>
      <c r="B5" s="7" t="s">
        <v>24</v>
      </c>
      <c r="C5" s="7" t="s">
        <v>25</v>
      </c>
      <c r="D5" s="7" t="s">
        <v>26</v>
      </c>
    </row>
    <row r="6" customFormat="false" ht="15" hidden="false" customHeight="false" outlineLevel="0" collapsed="false">
      <c r="A6" s="8" t="s">
        <v>27</v>
      </c>
    </row>
    <row r="7" customFormat="false" ht="15" hidden="false" customHeight="false" outlineLevel="0" collapsed="false">
      <c r="A7" s="0" t="s">
        <v>28</v>
      </c>
      <c r="B7" s="9" t="n">
        <v>204.64</v>
      </c>
      <c r="C7" s="0" t="s">
        <v>29</v>
      </c>
      <c r="D7" s="10" t="s">
        <v>30</v>
      </c>
    </row>
    <row r="8" customFormat="false" ht="15" hidden="false" customHeight="false" outlineLevel="0" collapsed="false">
      <c r="A8" s="0" t="s">
        <v>31</v>
      </c>
      <c r="B8" s="9" t="n">
        <v>243.37</v>
      </c>
      <c r="C8" s="0" t="s">
        <v>29</v>
      </c>
      <c r="D8" s="10" t="s">
        <v>32</v>
      </c>
    </row>
    <row r="9" customFormat="false" ht="15" hidden="false" customHeight="false" outlineLevel="0" collapsed="false">
      <c r="A9" s="0" t="s">
        <v>33</v>
      </c>
      <c r="B9" s="9" t="n">
        <v>239.24</v>
      </c>
      <c r="C9" s="0" t="s">
        <v>29</v>
      </c>
      <c r="D9" s="10" t="s">
        <v>32</v>
      </c>
    </row>
    <row r="10" customFormat="false" ht="15" hidden="false" customHeight="false" outlineLevel="0" collapsed="false">
      <c r="A10" s="0" t="s">
        <v>34</v>
      </c>
      <c r="B10" s="9" t="n">
        <v>164.27</v>
      </c>
      <c r="C10" s="0" t="s">
        <v>29</v>
      </c>
      <c r="D10" s="10" t="s">
        <v>32</v>
      </c>
    </row>
    <row r="11" customFormat="false" ht="15" hidden="false" customHeight="false" outlineLevel="0" collapsed="false">
      <c r="A11" s="0" t="s">
        <v>35</v>
      </c>
      <c r="B11" s="9" t="n">
        <v>165.17</v>
      </c>
      <c r="C11" s="0" t="s">
        <v>29</v>
      </c>
      <c r="D11" s="10" t="s">
        <v>32</v>
      </c>
    </row>
    <row r="12" customFormat="false" ht="15" hidden="false" customHeight="false" outlineLevel="0" collapsed="false">
      <c r="A12" s="0" t="s">
        <v>36</v>
      </c>
      <c r="B12" s="9" t="n">
        <v>186.5</v>
      </c>
      <c r="C12" s="0" t="s">
        <v>29</v>
      </c>
      <c r="D12" s="10" t="s">
        <v>32</v>
      </c>
    </row>
    <row r="13" customFormat="false" ht="15" hidden="false" customHeight="false" outlineLevel="0" collapsed="false">
      <c r="A13" s="0" t="s">
        <v>37</v>
      </c>
      <c r="B13" s="11" t="n">
        <v>24.1</v>
      </c>
      <c r="C13" s="0" t="s">
        <v>38</v>
      </c>
      <c r="D13" s="10" t="s">
        <v>39</v>
      </c>
    </row>
    <row r="14" customFormat="false" ht="15" hidden="false" customHeight="false" outlineLevel="0" collapsed="false">
      <c r="A14" s="0" t="s">
        <v>40</v>
      </c>
      <c r="B14" s="11" t="n">
        <v>56.586</v>
      </c>
      <c r="C14" s="0" t="s">
        <v>41</v>
      </c>
      <c r="D14" s="10" t="s">
        <v>42</v>
      </c>
    </row>
    <row r="15" customFormat="false" ht="15" hidden="false" customHeight="false" outlineLevel="0" collapsed="false">
      <c r="A15" s="0" t="s">
        <v>43</v>
      </c>
      <c r="B15" s="11" t="n">
        <v>33.366</v>
      </c>
      <c r="C15" s="0" t="s">
        <v>41</v>
      </c>
      <c r="D15" s="10" t="s">
        <v>44</v>
      </c>
    </row>
    <row r="16" customFormat="false" ht="15" hidden="false" customHeight="false" outlineLevel="0" collapsed="false">
      <c r="A16" s="0" t="s">
        <v>45</v>
      </c>
      <c r="B16" s="9" t="n">
        <v>9.31</v>
      </c>
      <c r="C16" s="0" t="s">
        <v>29</v>
      </c>
      <c r="D16" s="10" t="s">
        <v>46</v>
      </c>
    </row>
    <row r="17" customFormat="false" ht="15" hidden="false" customHeight="false" outlineLevel="0" collapsed="false">
      <c r="A17" s="0" t="s">
        <v>47</v>
      </c>
      <c r="B17" s="11" t="n">
        <v>411.7</v>
      </c>
      <c r="C17" s="0" t="s">
        <v>41</v>
      </c>
      <c r="D17" s="10" t="s">
        <v>48</v>
      </c>
    </row>
    <row r="18" customFormat="false" ht="15" hidden="false" customHeight="false" outlineLevel="0" collapsed="false">
      <c r="A18" s="0" t="s">
        <v>49</v>
      </c>
      <c r="B18" s="9" t="n">
        <v>15.91</v>
      </c>
      <c r="C18" s="0" t="s">
        <v>29</v>
      </c>
      <c r="D18" s="10" t="s">
        <v>50</v>
      </c>
    </row>
    <row r="19" customFormat="false" ht="15" hidden="false" customHeight="false" outlineLevel="0" collapsed="false">
      <c r="A19" s="0" t="s">
        <v>51</v>
      </c>
      <c r="B19" s="11" t="n">
        <v>692.21</v>
      </c>
      <c r="C19" s="0" t="s">
        <v>41</v>
      </c>
      <c r="D19" s="10" t="s">
        <v>52</v>
      </c>
    </row>
    <row r="20" customFormat="false" ht="15" hidden="false" customHeight="false" outlineLevel="0" collapsed="false">
      <c r="A20" s="0" t="s">
        <v>53</v>
      </c>
      <c r="B20" s="9" t="n">
        <v>328.95</v>
      </c>
      <c r="C20" s="0" t="s">
        <v>29</v>
      </c>
      <c r="D20" s="10" t="s">
        <v>54</v>
      </c>
    </row>
    <row r="21" customFormat="false" ht="15" hidden="false" customHeight="false" outlineLevel="0" collapsed="false">
      <c r="A21" s="0" t="s">
        <v>55</v>
      </c>
      <c r="B21" s="12" t="n">
        <v>16.92</v>
      </c>
      <c r="C21" s="0" t="s">
        <v>56</v>
      </c>
      <c r="D21" s="10" t="s">
        <v>57</v>
      </c>
    </row>
    <row r="22" customFormat="false" ht="15" hidden="false" customHeight="false" outlineLevel="0" collapsed="false">
      <c r="A22" s="8" t="s">
        <v>58</v>
      </c>
    </row>
    <row r="23" customFormat="false" ht="15" hidden="false" customHeight="false" outlineLevel="0" collapsed="false">
      <c r="A23" s="0" t="s">
        <v>59</v>
      </c>
      <c r="B23" s="11" t="n">
        <v>108</v>
      </c>
      <c r="C23" s="0" t="s">
        <v>41</v>
      </c>
      <c r="D23" s="10" t="s">
        <v>60</v>
      </c>
    </row>
    <row r="24" customFormat="false" ht="15" hidden="false" customHeight="false" outlineLevel="0" collapsed="false">
      <c r="A24" s="0" t="s">
        <v>61</v>
      </c>
      <c r="B24" s="13" t="n">
        <v>0.74</v>
      </c>
      <c r="C24" s="0" t="s">
        <v>62</v>
      </c>
      <c r="D24" s="10" t="s">
        <v>63</v>
      </c>
    </row>
    <row r="25" customFormat="false" ht="15" hidden="false" customHeight="false" outlineLevel="0" collapsed="false">
      <c r="A25" s="0" t="s">
        <v>64</v>
      </c>
      <c r="B25" s="11" t="n">
        <v>9</v>
      </c>
      <c r="C25" s="0" t="s">
        <v>41</v>
      </c>
      <c r="D25" s="10" t="s">
        <v>65</v>
      </c>
    </row>
    <row r="26" customFormat="false" ht="15" hidden="false" customHeight="false" outlineLevel="0" collapsed="false">
      <c r="A26" s="0" t="s">
        <v>66</v>
      </c>
      <c r="B26" s="9" t="n">
        <v>4.25</v>
      </c>
      <c r="C26" s="0" t="s">
        <v>67</v>
      </c>
      <c r="D26" s="10" t="s">
        <v>68</v>
      </c>
    </row>
    <row r="27" customFormat="false" ht="15" hidden="false" customHeight="false" outlineLevel="0" collapsed="false">
      <c r="A27" s="0" t="s">
        <v>69</v>
      </c>
      <c r="B27" s="11" t="n">
        <v>150</v>
      </c>
      <c r="C27" s="0" t="s">
        <v>41</v>
      </c>
      <c r="D27" s="10" t="s">
        <v>70</v>
      </c>
    </row>
    <row r="28" customFormat="false" ht="15" hidden="false" customHeight="false" outlineLevel="0" collapsed="false">
      <c r="A28" s="0" t="s">
        <v>71</v>
      </c>
      <c r="B28" s="11" t="n">
        <v>200</v>
      </c>
      <c r="C28" s="0" t="s">
        <v>41</v>
      </c>
      <c r="D28" s="10" t="s">
        <v>72</v>
      </c>
    </row>
    <row r="29" customFormat="false" ht="15" hidden="false" customHeight="false" outlineLevel="0" collapsed="false">
      <c r="A29" s="0" t="s">
        <v>73</v>
      </c>
      <c r="B29" s="9" t="n">
        <v>3.25</v>
      </c>
      <c r="C29" s="0" t="s">
        <v>74</v>
      </c>
      <c r="D29" s="10" t="s">
        <v>75</v>
      </c>
    </row>
    <row r="30" customFormat="false" ht="15" hidden="false" customHeight="false" outlineLevel="0" collapsed="false">
      <c r="A30" s="0" t="s">
        <v>76</v>
      </c>
      <c r="B30" s="9" t="n">
        <v>3.75</v>
      </c>
      <c r="C30" s="0" t="s">
        <v>74</v>
      </c>
      <c r="D30" s="10" t="s">
        <v>72</v>
      </c>
    </row>
    <row r="31" customFormat="false" ht="15" hidden="false" customHeight="false" outlineLevel="0" collapsed="false">
      <c r="A31" s="8" t="s">
        <v>77</v>
      </c>
    </row>
    <row r="32" customFormat="false" ht="15" hidden="false" customHeight="false" outlineLevel="0" collapsed="false">
      <c r="A32" s="0" t="s">
        <v>78</v>
      </c>
      <c r="B32" s="14" t="n">
        <v>7.5</v>
      </c>
      <c r="C32" s="0" t="s">
        <v>41</v>
      </c>
      <c r="D32" s="10" t="s">
        <v>79</v>
      </c>
    </row>
    <row r="33" customFormat="false" ht="15" hidden="false" customHeight="false" outlineLevel="0" collapsed="false">
      <c r="A33" s="0" t="s">
        <v>80</v>
      </c>
      <c r="B33" s="14" t="n">
        <v>7.5</v>
      </c>
      <c r="C33" s="0" t="s">
        <v>41</v>
      </c>
      <c r="D33" s="10" t="s">
        <v>81</v>
      </c>
    </row>
    <row r="34" customFormat="false" ht="15" hidden="false" customHeight="false" outlineLevel="0" collapsed="false">
      <c r="A34" s="0" t="s">
        <v>82</v>
      </c>
      <c r="B34" s="14" t="n">
        <v>122</v>
      </c>
      <c r="C34" s="0" t="s">
        <v>41</v>
      </c>
      <c r="D34" s="10" t="s">
        <v>83</v>
      </c>
    </row>
    <row r="35" customFormat="false" ht="15" hidden="false" customHeight="false" outlineLevel="0" collapsed="false">
      <c r="A35" s="0" t="s">
        <v>84</v>
      </c>
      <c r="B35" s="15" t="n">
        <v>0.655</v>
      </c>
      <c r="C35" s="0" t="s">
        <v>62</v>
      </c>
      <c r="D35" s="10" t="s">
        <v>85</v>
      </c>
    </row>
    <row r="36" customFormat="false" ht="15" hidden="false" customHeight="false" outlineLevel="0" collapsed="false">
      <c r="A36" s="0" t="s">
        <v>86</v>
      </c>
      <c r="B36" s="14" t="n">
        <v>0.4</v>
      </c>
      <c r="C36" s="0" t="s">
        <v>41</v>
      </c>
      <c r="D36" s="10" t="s">
        <v>87</v>
      </c>
    </row>
    <row r="37" customFormat="false" ht="15" hidden="false" customHeight="false" outlineLevel="0" collapsed="false">
      <c r="A37" s="0" t="s">
        <v>88</v>
      </c>
      <c r="B37" s="15" t="n">
        <v>0.165</v>
      </c>
      <c r="C37" s="0" t="s">
        <v>62</v>
      </c>
      <c r="D37" s="10" t="s">
        <v>89</v>
      </c>
    </row>
    <row r="38" customFormat="false" ht="15" hidden="false" customHeight="false" outlineLevel="0" collapsed="false">
      <c r="A38" s="0" t="s">
        <v>90</v>
      </c>
      <c r="B38" s="14" t="n">
        <v>24.2</v>
      </c>
      <c r="C38" s="0" t="s">
        <v>38</v>
      </c>
      <c r="D38" s="10" t="s">
        <v>91</v>
      </c>
    </row>
    <row r="39" customFormat="false" ht="15" hidden="false" customHeight="false" outlineLevel="0" collapsed="false">
      <c r="A39" s="0" t="s">
        <v>92</v>
      </c>
      <c r="B39" s="15" t="n">
        <v>0.2</v>
      </c>
      <c r="C39" s="0" t="s">
        <v>62</v>
      </c>
      <c r="D39" s="10" t="s">
        <v>93</v>
      </c>
    </row>
    <row r="40" customFormat="false" ht="15" hidden="false" customHeight="false" outlineLevel="0" collapsed="false">
      <c r="A40" s="0" t="s">
        <v>94</v>
      </c>
      <c r="B40" s="15" t="n">
        <v>0.15</v>
      </c>
      <c r="C40" s="0" t="s">
        <v>62</v>
      </c>
      <c r="D40" s="10" t="s">
        <v>81</v>
      </c>
    </row>
    <row r="41" customFormat="false" ht="15" hidden="false" customHeight="false" outlineLevel="0" collapsed="false">
      <c r="A41" s="0" t="s">
        <v>95</v>
      </c>
      <c r="B41" s="15" t="n">
        <v>0.15</v>
      </c>
      <c r="C41" s="0" t="s">
        <v>62</v>
      </c>
      <c r="D41" s="10" t="s">
        <v>96</v>
      </c>
    </row>
    <row r="42" customFormat="false" ht="15" hidden="false" customHeight="false" outlineLevel="0" collapsed="false">
      <c r="A42" s="0" t="s">
        <v>97</v>
      </c>
      <c r="B42" s="15" t="n">
        <v>0.1</v>
      </c>
      <c r="C42" s="0" t="s">
        <v>62</v>
      </c>
      <c r="D42" s="10" t="s">
        <v>81</v>
      </c>
    </row>
    <row r="43" customFormat="false" ht="15" hidden="false" customHeight="false" outlineLevel="0" collapsed="false">
      <c r="A43" s="0" t="s">
        <v>98</v>
      </c>
      <c r="B43" s="14" t="n">
        <v>33</v>
      </c>
      <c r="C43" s="0" t="s">
        <v>41</v>
      </c>
      <c r="D43" s="10" t="s">
        <v>81</v>
      </c>
    </row>
    <row r="44" customFormat="false" ht="15" hidden="false" customHeight="false" outlineLevel="0" collapsed="false">
      <c r="A44" s="0" t="s">
        <v>99</v>
      </c>
      <c r="B44" s="14" t="n">
        <v>37</v>
      </c>
      <c r="C44" s="0" t="s">
        <v>41</v>
      </c>
      <c r="D44" s="10" t="s">
        <v>81</v>
      </c>
    </row>
    <row r="45" customFormat="false" ht="15" hidden="false" customHeight="false" outlineLevel="0" collapsed="false">
      <c r="A45" s="0" t="s">
        <v>100</v>
      </c>
      <c r="B45" s="15" t="n">
        <v>0.63</v>
      </c>
      <c r="C45" s="0" t="s">
        <v>62</v>
      </c>
      <c r="D45" s="10" t="s">
        <v>101</v>
      </c>
    </row>
    <row r="46" customFormat="false" ht="15" hidden="false" customHeight="false" outlineLevel="0" collapsed="false">
      <c r="A46" s="0" t="s">
        <v>102</v>
      </c>
      <c r="B46" s="15" t="n">
        <v>0.62</v>
      </c>
      <c r="C46" s="0" t="s">
        <v>62</v>
      </c>
      <c r="D46" s="10" t="s">
        <v>81</v>
      </c>
    </row>
    <row r="47" customFormat="false" ht="15" hidden="false" customHeight="false" outlineLevel="0" collapsed="false">
      <c r="A47" s="0" t="s">
        <v>103</v>
      </c>
      <c r="B47" s="14" t="n">
        <v>1.5</v>
      </c>
      <c r="C47" s="0" t="s">
        <v>41</v>
      </c>
      <c r="D47" s="10" t="s">
        <v>81</v>
      </c>
    </row>
    <row r="48" customFormat="false" ht="15" hidden="false" customHeight="false" outlineLevel="0" collapsed="false">
      <c r="A48" s="0" t="s">
        <v>104</v>
      </c>
      <c r="B48" s="14" t="n">
        <v>24</v>
      </c>
      <c r="C48" s="0" t="s">
        <v>38</v>
      </c>
      <c r="D48" s="10" t="s">
        <v>105</v>
      </c>
    </row>
    <row r="49" customFormat="false" ht="15" hidden="false" customHeight="false" outlineLevel="0" collapsed="false">
      <c r="A49" s="0" t="s">
        <v>106</v>
      </c>
      <c r="B49" s="14" t="n">
        <v>23.8</v>
      </c>
      <c r="C49" s="0" t="s">
        <v>38</v>
      </c>
      <c r="D49" s="10" t="s">
        <v>81</v>
      </c>
    </row>
    <row r="50" customFormat="false" ht="15" hidden="false" customHeight="false" outlineLevel="0" collapsed="false">
      <c r="A50" s="0" t="s">
        <v>107</v>
      </c>
      <c r="B50" s="16" t="n">
        <v>16</v>
      </c>
      <c r="C50" s="0" t="s">
        <v>56</v>
      </c>
      <c r="D50" s="10" t="s">
        <v>108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M2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50"/>
    <col collapsed="false" customWidth="true" hidden="false" outlineLevel="0" max="13" min="2" style="0" width="11"/>
  </cols>
  <sheetData>
    <row r="1" customFormat="false" ht="15" hidden="false" customHeight="false" outlineLevel="0" collapsed="false">
      <c r="A1" s="1" t="s">
        <v>109</v>
      </c>
    </row>
    <row r="2" customFormat="false" ht="15" hidden="false" customHeight="false" outlineLevel="0" collapsed="false">
      <c r="A2" s="2" t="s">
        <v>1</v>
      </c>
    </row>
    <row r="4" customFormat="false" ht="15" hidden="false" customHeight="false" outlineLevel="0" collapsed="false">
      <c r="A4" s="6" t="s">
        <v>110</v>
      </c>
      <c r="B4" s="7" t="s">
        <v>111</v>
      </c>
      <c r="C4" s="7" t="s">
        <v>112</v>
      </c>
      <c r="D4" s="7" t="s">
        <v>113</v>
      </c>
      <c r="E4" s="7" t="s">
        <v>114</v>
      </c>
      <c r="F4" s="7" t="s">
        <v>115</v>
      </c>
      <c r="G4" s="7" t="s">
        <v>116</v>
      </c>
      <c r="H4" s="7" t="s">
        <v>117</v>
      </c>
      <c r="I4" s="7" t="s">
        <v>118</v>
      </c>
      <c r="J4" s="7" t="s">
        <v>119</v>
      </c>
      <c r="K4" s="7" t="s">
        <v>120</v>
      </c>
      <c r="L4" s="7" t="s">
        <v>121</v>
      </c>
      <c r="M4" s="7" t="s">
        <v>122</v>
      </c>
    </row>
    <row r="5" customFormat="false" ht="15" hidden="false" customHeight="false" outlineLevel="0" collapsed="false">
      <c r="A5" s="3" t="s">
        <v>123</v>
      </c>
      <c r="B5" s="17" t="n">
        <v>26.044</v>
      </c>
      <c r="C5" s="17" t="n">
        <v>30.04</v>
      </c>
      <c r="D5" s="17" t="n">
        <v>35.082</v>
      </c>
      <c r="E5" s="17" t="n">
        <v>39.331</v>
      </c>
      <c r="F5" s="17" t="n">
        <v>44.062</v>
      </c>
      <c r="G5" s="17" t="n">
        <v>46.743</v>
      </c>
      <c r="H5" s="17" t="n">
        <v>57.006</v>
      </c>
      <c r="I5" s="17" t="n">
        <v>68.127</v>
      </c>
      <c r="J5" s="17" t="n">
        <v>81.615</v>
      </c>
      <c r="K5" s="17" t="n">
        <v>96.221</v>
      </c>
      <c r="L5" s="18" t="n">
        <f aca="false">Assumptions!$B$23</f>
        <v>108</v>
      </c>
      <c r="M5" s="18" t="n">
        <f aca="false">Assumptions!$B$34</f>
        <v>122</v>
      </c>
    </row>
    <row r="6" customFormat="false" ht="15" hidden="false" customHeight="false" outlineLevel="0" collapsed="false">
      <c r="A6" s="19" t="s">
        <v>124</v>
      </c>
      <c r="B6" s="17" t="n">
        <v>22.563</v>
      </c>
      <c r="C6" s="17" t="n">
        <v>26.272</v>
      </c>
      <c r="D6" s="17" t="n">
        <v>30.771</v>
      </c>
      <c r="E6" s="17" t="n">
        <v>35.58</v>
      </c>
      <c r="F6" s="17" t="n">
        <v>39.112</v>
      </c>
      <c r="G6" s="17" t="n">
        <v>41.096</v>
      </c>
      <c r="H6" s="17" t="n">
        <v>51.215</v>
      </c>
      <c r="I6" s="17" t="n">
        <v>62.314</v>
      </c>
      <c r="J6" s="17" t="n">
        <v>75.246</v>
      </c>
      <c r="K6" s="17" t="n">
        <v>89.023</v>
      </c>
      <c r="L6" s="20" t="n">
        <f aca="false">L5-L7</f>
        <v>100.5</v>
      </c>
      <c r="M6" s="20" t="n">
        <f aca="false">M5-M7</f>
        <v>114.5</v>
      </c>
    </row>
    <row r="7" customFormat="false" ht="15" hidden="false" customHeight="false" outlineLevel="0" collapsed="false">
      <c r="A7" s="19" t="s">
        <v>125</v>
      </c>
      <c r="B7" s="20" t="n">
        <f aca="false">B5-B6</f>
        <v>3.481</v>
      </c>
      <c r="C7" s="20" t="n">
        <f aca="false">C5-C6</f>
        <v>3.768</v>
      </c>
      <c r="D7" s="20" t="n">
        <f aca="false">D5-D6</f>
        <v>4.311</v>
      </c>
      <c r="E7" s="20" t="n">
        <f aca="false">E5-E6</f>
        <v>3.751</v>
      </c>
      <c r="F7" s="20" t="n">
        <f aca="false">F5-F6</f>
        <v>4.95</v>
      </c>
      <c r="G7" s="20" t="n">
        <f aca="false">G5-G6</f>
        <v>5.64700000000001</v>
      </c>
      <c r="H7" s="20" t="n">
        <f aca="false">H5-H6</f>
        <v>5.791</v>
      </c>
      <c r="I7" s="20" t="n">
        <f aca="false">I5-I6</f>
        <v>5.813</v>
      </c>
      <c r="J7" s="20" t="n">
        <f aca="false">J5-J6</f>
        <v>6.369</v>
      </c>
      <c r="K7" s="20" t="n">
        <f aca="false">K5-K6</f>
        <v>7.19800000000001</v>
      </c>
      <c r="L7" s="18" t="n">
        <f aca="false">Assumptions!$B$32</f>
        <v>7.5</v>
      </c>
      <c r="M7" s="18" t="n">
        <f aca="false">Assumptions!$B$33</f>
        <v>7.5</v>
      </c>
    </row>
    <row r="8" customFormat="false" ht="15" hidden="false" customHeight="false" outlineLevel="0" collapsed="false">
      <c r="A8" s="19" t="s">
        <v>126</v>
      </c>
      <c r="B8" s="21" t="n">
        <f aca="false">B6/B5</f>
        <v>0.866341575794809</v>
      </c>
      <c r="C8" s="21" t="n">
        <f aca="false">C6/C5</f>
        <v>0.8745672436751</v>
      </c>
      <c r="D8" s="21" t="n">
        <f aca="false">D6/D5</f>
        <v>0.877116469984608</v>
      </c>
      <c r="E8" s="21" t="n">
        <f aca="false">E6/E5</f>
        <v>0.90462993567415</v>
      </c>
      <c r="F8" s="21" t="n">
        <f aca="false">F6/F5</f>
        <v>0.887658299668649</v>
      </c>
      <c r="G8" s="21" t="n">
        <f aca="false">G6/G5</f>
        <v>0.8791904670218</v>
      </c>
      <c r="H8" s="21" t="n">
        <f aca="false">H6/H5</f>
        <v>0.898414202013823</v>
      </c>
      <c r="I8" s="21" t="n">
        <f aca="false">I6/I5</f>
        <v>0.914674064614617</v>
      </c>
      <c r="J8" s="21" t="n">
        <f aca="false">J6/J5</f>
        <v>0.921962874471605</v>
      </c>
      <c r="K8" s="21" t="n">
        <f aca="false">K6/K5</f>
        <v>0.925193045177248</v>
      </c>
      <c r="L8" s="21" t="n">
        <f aca="false">L6/L5</f>
        <v>0.930555555555556</v>
      </c>
      <c r="M8" s="21" t="n">
        <f aca="false">M6/M5</f>
        <v>0.938524590163934</v>
      </c>
    </row>
    <row r="9" customFormat="false" ht="15" hidden="false" customHeight="false" outlineLevel="0" collapsed="false">
      <c r="A9" s="19" t="s">
        <v>127</v>
      </c>
      <c r="F9" s="21" t="n">
        <f aca="false">F6/B6-1</f>
        <v>0.733457430306254</v>
      </c>
      <c r="G9" s="21" t="n">
        <f aca="false">G6/C6-1</f>
        <v>0.564250913520098</v>
      </c>
      <c r="H9" s="21" t="n">
        <f aca="false">H6/D6-1</f>
        <v>0.664391797471645</v>
      </c>
      <c r="I9" s="21" t="n">
        <f aca="false">I6/E6-1</f>
        <v>0.751377178189995</v>
      </c>
      <c r="J9" s="21" t="n">
        <f aca="false">J6/F6-1</f>
        <v>0.923859685007159</v>
      </c>
      <c r="K9" s="21" t="n">
        <f aca="false">K6/G6-1</f>
        <v>1.16622055674518</v>
      </c>
      <c r="L9" s="21" t="n">
        <f aca="false">L6/H6-1</f>
        <v>0.962315727814117</v>
      </c>
      <c r="M9" s="21" t="n">
        <f aca="false">M6/I6-1</f>
        <v>0.837468305677697</v>
      </c>
    </row>
    <row r="10" customFormat="false" ht="15" hidden="false" customHeight="false" outlineLevel="0" collapsed="false">
      <c r="A10" s="3" t="s">
        <v>128</v>
      </c>
      <c r="J10" s="17" t="n">
        <v>53.783</v>
      </c>
      <c r="K10" s="17" t="n">
        <v>63.956</v>
      </c>
      <c r="L10" s="20" t="n">
        <f aca="false">L5*Assumptions!$B$24-Assumptions!$B$25</f>
        <v>70.92</v>
      </c>
      <c r="M10" s="20" t="n">
        <f aca="false">M5*Assumptions!$B$35</f>
        <v>79.91</v>
      </c>
    </row>
    <row r="11" customFormat="false" ht="15" hidden="false" customHeight="false" outlineLevel="0" collapsed="false">
      <c r="A11" s="19" t="s">
        <v>129</v>
      </c>
      <c r="J11" s="21" t="n">
        <f aca="false">J10/J5</f>
        <v>0.658984255345218</v>
      </c>
      <c r="K11" s="21" t="n">
        <f aca="false">K10/K5</f>
        <v>0.664678188752975</v>
      </c>
      <c r="L11" s="21" t="n">
        <f aca="false">L10/L5</f>
        <v>0.656666666666667</v>
      </c>
      <c r="M11" s="21" t="n">
        <f aca="false">M10/M5</f>
        <v>0.655</v>
      </c>
    </row>
    <row r="12" customFormat="false" ht="15" hidden="false" customHeight="false" outlineLevel="0" collapsed="false">
      <c r="A12" s="19" t="s">
        <v>130</v>
      </c>
      <c r="J12" s="17" t="n">
        <v>45.548</v>
      </c>
      <c r="K12" s="17" t="n">
        <v>53.954</v>
      </c>
      <c r="L12" s="20" t="n">
        <f aca="false">(L10+Assumptions!$B$36)*(1-Assumptions!$B$37)</f>
        <v>59.5522</v>
      </c>
      <c r="M12" s="20" t="n">
        <f aca="false">(M10+Assumptions!$B$36)*(1-Assumptions!$B$37)</f>
        <v>67.05885</v>
      </c>
    </row>
    <row r="13" customFormat="false" ht="15" hidden="false" customHeight="false" outlineLevel="0" collapsed="false">
      <c r="A13" s="19" t="s">
        <v>131</v>
      </c>
      <c r="J13" s="17" t="n">
        <v>24.391</v>
      </c>
      <c r="K13" s="17" t="n">
        <v>24.285</v>
      </c>
      <c r="L13" s="18" t="n">
        <f aca="false">Assumptions!$B$38</f>
        <v>24.2</v>
      </c>
      <c r="M13" s="18" t="n">
        <f aca="false">Assumptions!$B$38</f>
        <v>24.2</v>
      </c>
    </row>
    <row r="14" customFormat="false" ht="15" hidden="false" customHeight="false" outlineLevel="0" collapsed="false">
      <c r="A14" s="3" t="s">
        <v>132</v>
      </c>
      <c r="J14" s="22" t="n">
        <v>1.87</v>
      </c>
      <c r="K14" s="22" t="n">
        <v>2.22</v>
      </c>
      <c r="L14" s="23" t="n">
        <f aca="false">L12/L13</f>
        <v>2.4608347107438</v>
      </c>
      <c r="M14" s="23" t="n">
        <f aca="false">M12/M13</f>
        <v>2.77102685950413</v>
      </c>
    </row>
    <row r="16" customFormat="false" ht="15" hidden="false" customHeight="false" outlineLevel="0" collapsed="false">
      <c r="A16" s="8" t="s">
        <v>133</v>
      </c>
    </row>
    <row r="17" customFormat="false" ht="15" hidden="false" customHeight="false" outlineLevel="0" collapsed="false">
      <c r="A17" s="0" t="s">
        <v>134</v>
      </c>
      <c r="B17" s="24" t="n">
        <f aca="false">K8</f>
        <v>0.925193045177248</v>
      </c>
    </row>
    <row r="18" customFormat="false" ht="15" hidden="false" customHeight="false" outlineLevel="0" collapsed="false">
      <c r="A18" s="0" t="s">
        <v>135</v>
      </c>
      <c r="B18" s="24" t="n">
        <f aca="false">K9</f>
        <v>1.16622055674518</v>
      </c>
    </row>
    <row r="19" customFormat="false" ht="15" hidden="false" customHeight="false" outlineLevel="0" collapsed="false">
      <c r="A19" s="0" t="s">
        <v>136</v>
      </c>
      <c r="B19" s="24" t="n">
        <f aca="false">L11</f>
        <v>0.656666666666667</v>
      </c>
    </row>
    <row r="20" customFormat="false" ht="15" hidden="false" customHeight="false" outlineLevel="0" collapsed="false">
      <c r="A20" s="0" t="s">
        <v>137</v>
      </c>
      <c r="B20" s="4" t="n">
        <f aca="false">L14</f>
        <v>2.4608347107438</v>
      </c>
    </row>
    <row r="21" customFormat="false" ht="15" hidden="false" customHeight="false" outlineLevel="0" collapsed="false">
      <c r="A21" s="0" t="s">
        <v>138</v>
      </c>
      <c r="B21" s="4" t="n">
        <f aca="false">M14</f>
        <v>2.77102685950413</v>
      </c>
    </row>
    <row r="23" customFormat="false" ht="15" hidden="false" customHeight="false" outlineLevel="0" collapsed="false">
      <c r="A23" s="5" t="s">
        <v>139</v>
      </c>
    </row>
    <row r="24" customFormat="false" ht="15" hidden="false" customHeight="false" outlineLevel="0" collapsed="false">
      <c r="A24" s="5" t="s">
        <v>140</v>
      </c>
    </row>
    <row r="25" customFormat="false" ht="15" hidden="false" customHeight="false" outlineLevel="0" collapsed="false">
      <c r="A25" s="5" t="s">
        <v>141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2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60"/>
    <col collapsed="false" customWidth="true" hidden="false" outlineLevel="0" max="6" min="2" style="0" width="14"/>
  </cols>
  <sheetData>
    <row r="1" customFormat="false" ht="15" hidden="false" customHeight="false" outlineLevel="0" collapsed="false">
      <c r="A1" s="1" t="s">
        <v>142</v>
      </c>
    </row>
    <row r="2" customFormat="false" ht="15" hidden="false" customHeight="false" outlineLevel="0" collapsed="false">
      <c r="A2" s="2" t="s">
        <v>1</v>
      </c>
    </row>
    <row r="3" customFormat="false" ht="15" hidden="false" customHeight="false" outlineLevel="0" collapsed="false">
      <c r="A3" s="5" t="s">
        <v>143</v>
      </c>
    </row>
    <row r="5" customFormat="false" ht="15" hidden="false" customHeight="false" outlineLevel="0" collapsed="false">
      <c r="A5" s="19" t="s">
        <v>144</v>
      </c>
      <c r="B5" s="25" t="n">
        <f aca="false">Assumptions!$B$27/Assumptions!$B$26</f>
        <v>35.2941176470588</v>
      </c>
    </row>
    <row r="6" customFormat="false" ht="15" hidden="false" customHeight="false" outlineLevel="0" collapsed="false">
      <c r="A6" s="19" t="s">
        <v>145</v>
      </c>
      <c r="B6" s="25" t="n">
        <f aca="false">Assumptions!$B$28/Assumptions!$B$26</f>
        <v>47.0588235294118</v>
      </c>
    </row>
    <row r="7" customFormat="false" ht="15" hidden="false" customHeight="false" outlineLevel="0" collapsed="false">
      <c r="A7" s="3" t="s">
        <v>146</v>
      </c>
      <c r="B7" s="26" t="n">
        <f aca="false">(B5+B6)/2</f>
        <v>41.1764705882353</v>
      </c>
    </row>
    <row r="8" customFormat="false" ht="15" hidden="false" customHeight="false" outlineLevel="0" collapsed="false">
      <c r="A8" s="19" t="s">
        <v>147</v>
      </c>
      <c r="B8" s="27" t="n">
        <f aca="false">B7/(1+Assumptions!$B$42)</f>
        <v>37.4331550802139</v>
      </c>
    </row>
    <row r="9" customFormat="false" ht="15" hidden="false" customHeight="false" outlineLevel="0" collapsed="false">
      <c r="A9" s="19" t="s">
        <v>148</v>
      </c>
      <c r="B9" s="27" t="n">
        <f aca="false">B8/(1+Assumptions!$B$41)</f>
        <v>32.5505696349686</v>
      </c>
    </row>
    <row r="10" customFormat="false" ht="15" hidden="false" customHeight="false" outlineLevel="0" collapsed="false">
      <c r="A10" s="19" t="s">
        <v>149</v>
      </c>
      <c r="B10" s="20" t="n">
        <f aca="false">B5/B7</f>
        <v>0.857142857142857</v>
      </c>
    </row>
    <row r="11" customFormat="false" ht="15" hidden="false" customHeight="false" outlineLevel="0" collapsed="false">
      <c r="A11" s="19" t="s">
        <v>150</v>
      </c>
      <c r="B11" s="20" t="n">
        <f aca="false">B6/B7</f>
        <v>1.14285714285714</v>
      </c>
    </row>
    <row r="12" customFormat="false" ht="15" hidden="false" customHeight="false" outlineLevel="0" collapsed="false">
      <c r="A12" s="19" t="s">
        <v>151</v>
      </c>
      <c r="B12" s="28" t="n">
        <f aca="false">B5/(Assumptions!$B$30)</f>
        <v>9.41176470588235</v>
      </c>
    </row>
    <row r="13" customFormat="false" ht="15" hidden="false" customHeight="false" outlineLevel="0" collapsed="false">
      <c r="A13" s="19" t="s">
        <v>152</v>
      </c>
      <c r="B13" s="28" t="n">
        <f aca="false">B6/(Assumptions!$B$29)</f>
        <v>14.4796380090498</v>
      </c>
    </row>
    <row r="15" customFormat="false" ht="23.85" hidden="false" customHeight="false" outlineLevel="0" collapsed="false">
      <c r="A15" s="6" t="s">
        <v>153</v>
      </c>
      <c r="B15" s="7" t="s">
        <v>154</v>
      </c>
      <c r="C15" s="7" t="s">
        <v>155</v>
      </c>
      <c r="D15" s="7" t="s">
        <v>156</v>
      </c>
      <c r="E15" s="7" t="s">
        <v>157</v>
      </c>
      <c r="F15" s="7" t="s">
        <v>158</v>
      </c>
    </row>
    <row r="16" customFormat="false" ht="15" hidden="false" customHeight="false" outlineLevel="0" collapsed="false">
      <c r="A16" s="19" t="s">
        <v>159</v>
      </c>
      <c r="B16" s="29" t="n">
        <f aca="false">193.737</f>
        <v>193.737</v>
      </c>
      <c r="C16" s="27" t="n">
        <f aca="false">B9</f>
        <v>32.5505696349686</v>
      </c>
      <c r="D16" s="30" t="n">
        <f aca="false">B16/C16</f>
        <v>5.95187740714286</v>
      </c>
      <c r="E16" s="29" t="n">
        <f aca="false">B16/(C16*$B$11)</f>
        <v>5.20789273125</v>
      </c>
      <c r="F16" s="29" t="n">
        <f aca="false">B16/(C16*$B$10)</f>
        <v>6.943856975</v>
      </c>
    </row>
    <row r="17" customFormat="false" ht="15" hidden="false" customHeight="false" outlineLevel="0" collapsed="false">
      <c r="A17" s="19" t="s">
        <v>160</v>
      </c>
      <c r="B17" s="29" t="n">
        <f aca="false">Financials!D5</f>
        <v>379.269</v>
      </c>
      <c r="C17" s="27" t="n">
        <f aca="false">B9</f>
        <v>32.5505696349686</v>
      </c>
      <c r="D17" s="30" t="n">
        <f aca="false">B17/C17</f>
        <v>11.6516854928571</v>
      </c>
      <c r="E17" s="29" t="n">
        <f aca="false">B17/(C17*$B$11)</f>
        <v>10.19522480625</v>
      </c>
      <c r="F17" s="29" t="n">
        <f aca="false">B17/(C17*$B$10)</f>
        <v>13.593633075</v>
      </c>
    </row>
    <row r="18" customFormat="false" ht="15" hidden="false" customHeight="false" outlineLevel="0" collapsed="false">
      <c r="A18" s="19" t="s">
        <v>161</v>
      </c>
      <c r="B18" s="29" t="n">
        <f aca="false">Financials!E5</f>
        <v>523.39122</v>
      </c>
      <c r="C18" s="27" t="n">
        <f aca="false">B8</f>
        <v>37.4331550802139</v>
      </c>
      <c r="D18" s="30" t="n">
        <f aca="false">B18/C18</f>
        <v>13.9820225914286</v>
      </c>
      <c r="E18" s="29" t="n">
        <f aca="false">B18/(C18*$B$11)</f>
        <v>12.2342697675</v>
      </c>
      <c r="F18" s="29" t="n">
        <f aca="false">B18/(C18*$B$10)</f>
        <v>16.31235969</v>
      </c>
    </row>
    <row r="19" customFormat="false" ht="15" hidden="false" customHeight="false" outlineLevel="0" collapsed="false">
      <c r="A19" s="19" t="s">
        <v>162</v>
      </c>
      <c r="B19" s="31" t="n">
        <f aca="false">Assumptions!$B$19-Assumptions!$B$43</f>
        <v>659.21</v>
      </c>
      <c r="C19" s="27" t="n">
        <f aca="false">B8</f>
        <v>37.4331550802139</v>
      </c>
      <c r="D19" s="30" t="n">
        <f aca="false">B19/C19</f>
        <v>17.6103242857143</v>
      </c>
      <c r="E19" s="29" t="n">
        <f aca="false">B19/(C19*$B$11)</f>
        <v>15.40903375</v>
      </c>
      <c r="F19" s="29" t="n">
        <f aca="false">B19/(C19*$B$10)</f>
        <v>20.5453783333333</v>
      </c>
    </row>
    <row r="20" customFormat="false" ht="15" hidden="false" customHeight="false" outlineLevel="0" collapsed="false">
      <c r="A20" s="19" t="s">
        <v>163</v>
      </c>
      <c r="B20" s="29" t="n">
        <f aca="false">Financials!F5</f>
        <v>662.0898933</v>
      </c>
      <c r="C20" s="27" t="n">
        <f aca="false">B7</f>
        <v>41.1764705882353</v>
      </c>
      <c r="D20" s="30" t="n">
        <f aca="false">B20/C20</f>
        <v>16.0793259801429</v>
      </c>
      <c r="E20" s="29" t="n">
        <f aca="false">B20/(C20*$B$11)</f>
        <v>14.069410232625</v>
      </c>
      <c r="F20" s="29" t="n">
        <f aca="false">B20/(C20*$B$10)</f>
        <v>18.7592136435</v>
      </c>
    </row>
    <row r="22" customFormat="false" ht="15" hidden="false" customHeight="false" outlineLevel="0" collapsed="false">
      <c r="A22" s="3" t="s">
        <v>164</v>
      </c>
      <c r="B22" s="32" t="n">
        <f aca="false">D19/D17-1</f>
        <v>0.51139715335691</v>
      </c>
    </row>
    <row r="23" customFormat="false" ht="15" hidden="false" customHeight="false" outlineLevel="0" collapsed="false">
      <c r="A23" s="19" t="s">
        <v>165</v>
      </c>
      <c r="B23" s="21" t="n">
        <f aca="false">D18/D17-1</f>
        <v>0.2</v>
      </c>
    </row>
    <row r="24" customFormat="false" ht="15" hidden="false" customHeight="false" outlineLevel="0" collapsed="false">
      <c r="A24" s="19" t="s">
        <v>166</v>
      </c>
      <c r="B24" s="29" t="n">
        <f aca="false">B17/B6</f>
        <v>8.05946625</v>
      </c>
    </row>
    <row r="25" customFormat="false" ht="15" hidden="false" customHeight="false" outlineLevel="0" collapsed="false">
      <c r="A25" s="19" t="s">
        <v>167</v>
      </c>
      <c r="B25" s="29" t="n">
        <f aca="false">B17/B5</f>
        <v>10.745955</v>
      </c>
    </row>
    <row r="27" customFormat="false" ht="15" hidden="false" customHeight="false" outlineLevel="0" collapsed="false">
      <c r="A27" s="5" t="s">
        <v>168</v>
      </c>
    </row>
    <row r="28" customFormat="false" ht="15" hidden="false" customHeight="false" outlineLevel="0" collapsed="false">
      <c r="A28" s="5" t="s">
        <v>169</v>
      </c>
    </row>
    <row r="29" customFormat="false" ht="15" hidden="false" customHeight="false" outlineLevel="0" collapsed="false">
      <c r="A29" s="5" t="s">
        <v>170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2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52"/>
    <col collapsed="false" customWidth="true" hidden="false" outlineLevel="0" max="6" min="2" style="0" width="12"/>
  </cols>
  <sheetData>
    <row r="1" customFormat="false" ht="15" hidden="false" customHeight="false" outlineLevel="0" collapsed="false">
      <c r="A1" s="1" t="s">
        <v>171</v>
      </c>
    </row>
    <row r="2" customFormat="false" ht="15" hidden="false" customHeight="false" outlineLevel="0" collapsed="false">
      <c r="A2" s="2" t="s">
        <v>1</v>
      </c>
    </row>
    <row r="4" customFormat="false" ht="15" hidden="false" customHeight="false" outlineLevel="0" collapsed="false">
      <c r="A4" s="6"/>
      <c r="B4" s="7" t="s">
        <v>172</v>
      </c>
      <c r="C4" s="7" t="s">
        <v>173</v>
      </c>
      <c r="D4" s="7" t="s">
        <v>174</v>
      </c>
      <c r="E4" s="7" t="s">
        <v>175</v>
      </c>
      <c r="F4" s="7" t="s">
        <v>176</v>
      </c>
    </row>
    <row r="5" customFormat="false" ht="15" hidden="false" customHeight="false" outlineLevel="0" collapsed="false">
      <c r="A5" s="19" t="s">
        <v>124</v>
      </c>
      <c r="B5" s="33" t="n">
        <v>115.186</v>
      </c>
      <c r="C5" s="33" t="n">
        <v>193.737</v>
      </c>
      <c r="D5" s="29" t="n">
        <f aca="false">SUM(Quarterly!J6:M6)</f>
        <v>379.269</v>
      </c>
      <c r="E5" s="29" t="n">
        <f aca="false">D5*(1+Scenarios!B6)*(1+Scenarios!D6)</f>
        <v>523.39122</v>
      </c>
      <c r="F5" s="29" t="n">
        <f aca="false">E5*(1+Scenarios!C6)*(1+Scenarios!E6)</f>
        <v>662.0898933</v>
      </c>
    </row>
    <row r="6" customFormat="false" ht="15" hidden="false" customHeight="false" outlineLevel="0" collapsed="false">
      <c r="A6" s="19" t="s">
        <v>177</v>
      </c>
      <c r="B6" s="33" t="n">
        <v>15.311</v>
      </c>
      <c r="C6" s="33" t="n">
        <v>22.201</v>
      </c>
      <c r="D6" s="29" t="n">
        <f aca="false">SUM(Quarterly!J7:M7)</f>
        <v>28.567</v>
      </c>
      <c r="E6" s="31" t="n">
        <f aca="false">Assumptions!$B$43</f>
        <v>33</v>
      </c>
      <c r="F6" s="31" t="n">
        <f aca="false">Assumptions!$B$44</f>
        <v>37</v>
      </c>
    </row>
    <row r="7" customFormat="false" ht="15" hidden="false" customHeight="false" outlineLevel="0" collapsed="false">
      <c r="A7" s="3" t="s">
        <v>123</v>
      </c>
      <c r="B7" s="29" t="n">
        <f aca="false">B5+B6</f>
        <v>130.497</v>
      </c>
      <c r="C7" s="29" t="n">
        <f aca="false">C5+C6</f>
        <v>215.938</v>
      </c>
      <c r="D7" s="29" t="n">
        <f aca="false">SUM(Quarterly!J5:M5)</f>
        <v>407.836</v>
      </c>
      <c r="E7" s="29" t="n">
        <f aca="false">E5+E6</f>
        <v>556.39122</v>
      </c>
      <c r="F7" s="29" t="n">
        <f aca="false">F5+F6</f>
        <v>699.0898933</v>
      </c>
    </row>
    <row r="8" customFormat="false" ht="15" hidden="false" customHeight="false" outlineLevel="0" collapsed="false">
      <c r="A8" s="19" t="s">
        <v>178</v>
      </c>
      <c r="B8" s="21" t="n">
        <f aca="false">B7/60.922-1</f>
        <v>1.14203407635994</v>
      </c>
      <c r="C8" s="21" t="n">
        <f aca="false">C7/B7-1</f>
        <v>0.654735357900948</v>
      </c>
      <c r="D8" s="21" t="n">
        <f aca="false">D7/C7-1</f>
        <v>0.888671748372218</v>
      </c>
      <c r="E8" s="21" t="n">
        <f aca="false">E7/D7-1</f>
        <v>0.364252346531449</v>
      </c>
      <c r="F8" s="21" t="n">
        <f aca="false">F7/E7-1</f>
        <v>0.256471828042146</v>
      </c>
    </row>
    <row r="9" customFormat="false" ht="15" hidden="false" customHeight="false" outlineLevel="0" collapsed="false">
      <c r="A9" s="3" t="s">
        <v>179</v>
      </c>
      <c r="B9" s="29"/>
      <c r="C9" s="29"/>
      <c r="D9" s="29" t="n">
        <f aca="false">SUM(Quarterly!J10:M10)</f>
        <v>268.569</v>
      </c>
      <c r="E9" s="29" t="n">
        <f aca="false">E7*Scenarios!F6</f>
        <v>350.5264686</v>
      </c>
      <c r="F9" s="29" t="n">
        <f aca="false">F7*Scenarios!G6</f>
        <v>433.435733846</v>
      </c>
    </row>
    <row r="10" customFormat="false" ht="15" hidden="false" customHeight="false" outlineLevel="0" collapsed="false">
      <c r="A10" s="19" t="s">
        <v>129</v>
      </c>
      <c r="B10" s="21"/>
      <c r="C10" s="21"/>
      <c r="D10" s="21" t="n">
        <f aca="false">D9/D7</f>
        <v>0.658522052982081</v>
      </c>
      <c r="E10" s="21" t="n">
        <f aca="false">E9/E7</f>
        <v>0.63</v>
      </c>
      <c r="F10" s="21" t="n">
        <f aca="false">F9/F7</f>
        <v>0.62</v>
      </c>
    </row>
    <row r="11" customFormat="false" ht="15" hidden="false" customHeight="false" outlineLevel="0" collapsed="false">
      <c r="A11" s="19" t="s">
        <v>180</v>
      </c>
      <c r="B11" s="27"/>
      <c r="C11" s="27"/>
      <c r="D11" s="27"/>
      <c r="E11" s="25" t="n">
        <f aca="false">Assumptions!$B$47</f>
        <v>1.5</v>
      </c>
      <c r="F11" s="25" t="n">
        <f aca="false">Assumptions!$B$47</f>
        <v>1.5</v>
      </c>
    </row>
    <row r="12" customFormat="false" ht="15" hidden="false" customHeight="false" outlineLevel="0" collapsed="false">
      <c r="A12" s="19" t="s">
        <v>181</v>
      </c>
      <c r="B12" s="21"/>
      <c r="C12" s="21"/>
      <c r="D12" s="21"/>
      <c r="E12" s="34" t="n">
        <f aca="false">Assumptions!$B$37</f>
        <v>0.165</v>
      </c>
      <c r="F12" s="34" t="n">
        <f aca="false">Assumptions!$B$37</f>
        <v>0.165</v>
      </c>
    </row>
    <row r="13" customFormat="false" ht="15" hidden="false" customHeight="false" outlineLevel="0" collapsed="false">
      <c r="A13" s="3" t="s">
        <v>130</v>
      </c>
      <c r="B13" s="29"/>
      <c r="C13" s="29"/>
      <c r="D13" s="29" t="n">
        <f aca="false">SUM(Quarterly!J12:M12)</f>
        <v>226.11305</v>
      </c>
      <c r="E13" s="29" t="n">
        <f aca="false">(E9+E11)*(1-E12)</f>
        <v>293.942101281</v>
      </c>
      <c r="F13" s="29" t="n">
        <f aca="false">(F9+F11)*(1-F12)</f>
        <v>363.17133776141</v>
      </c>
    </row>
    <row r="14" customFormat="false" ht="15" hidden="false" customHeight="false" outlineLevel="0" collapsed="false">
      <c r="A14" s="19" t="s">
        <v>131</v>
      </c>
      <c r="B14" s="20"/>
      <c r="C14" s="20"/>
      <c r="D14" s="20"/>
      <c r="E14" s="18" t="n">
        <f aca="false">Assumptions!$B$48</f>
        <v>24</v>
      </c>
      <c r="F14" s="18" t="n">
        <f aca="false">Assumptions!$B$49</f>
        <v>23.8</v>
      </c>
    </row>
    <row r="15" customFormat="false" ht="15" hidden="false" customHeight="false" outlineLevel="0" collapsed="false">
      <c r="A15" s="3" t="s">
        <v>182</v>
      </c>
      <c r="B15" s="22" t="n">
        <v>2.94</v>
      </c>
      <c r="C15" s="22" t="n">
        <v>4.9</v>
      </c>
      <c r="D15" s="23" t="n">
        <f aca="false">SUM(Quarterly!J14:M14)</f>
        <v>9.32186157024793</v>
      </c>
      <c r="E15" s="23" t="n">
        <f aca="false">E13/E14</f>
        <v>12.247587553375</v>
      </c>
      <c r="F15" s="23" t="n">
        <f aca="false">F13/F14</f>
        <v>15.2592999059416</v>
      </c>
    </row>
    <row r="16" customFormat="false" ht="15" hidden="false" customHeight="false" outlineLevel="0" collapsed="false">
      <c r="A16" s="19" t="s">
        <v>183</v>
      </c>
      <c r="B16" s="21"/>
      <c r="C16" s="21" t="n">
        <f aca="false">C15/B15-1</f>
        <v>0.666666666666667</v>
      </c>
      <c r="D16" s="21" t="n">
        <f aca="false">D15/C15-1</f>
        <v>0.902420728622027</v>
      </c>
      <c r="E16" s="21" t="n">
        <f aca="false">E15/D15-1</f>
        <v>0.313856407443867</v>
      </c>
      <c r="F16" s="21" t="n">
        <f aca="false">F15/E15-1</f>
        <v>0.24590249626235</v>
      </c>
    </row>
    <row r="17" customFormat="false" ht="15" hidden="false" customHeight="false" outlineLevel="0" collapsed="false">
      <c r="A17" s="19" t="s">
        <v>184</v>
      </c>
      <c r="B17" s="28"/>
      <c r="C17" s="35" t="n">
        <f aca="false">Assumptions!$B$7/C15</f>
        <v>41.7632653061224</v>
      </c>
      <c r="D17" s="35" t="n">
        <f aca="false">Assumptions!$B$7/D15</f>
        <v>21.9526967288528</v>
      </c>
      <c r="E17" s="35" t="n">
        <f aca="false">Assumptions!$B$7/E15</f>
        <v>16.7085966202061</v>
      </c>
      <c r="F17" s="35" t="n">
        <f aca="false">Assumptions!$B$7/F15</f>
        <v>13.4108380634369</v>
      </c>
    </row>
    <row r="18" customFormat="false" ht="15" hidden="false" customHeight="false" outlineLevel="0" collapsed="false">
      <c r="A18" s="19" t="s">
        <v>185</v>
      </c>
      <c r="B18" s="23"/>
      <c r="C18" s="23"/>
      <c r="D18" s="36" t="n">
        <f aca="false">Assumptions!$B$16</f>
        <v>9.31</v>
      </c>
      <c r="E18" s="36" t="n">
        <f aca="false">Assumptions!$B$18</f>
        <v>15.91</v>
      </c>
      <c r="F18" s="23"/>
    </row>
    <row r="19" customFormat="false" ht="15" hidden="false" customHeight="false" outlineLevel="0" collapsed="false">
      <c r="A19" s="19" t="s">
        <v>186</v>
      </c>
      <c r="B19" s="21"/>
      <c r="C19" s="21"/>
      <c r="D19" s="21" t="n">
        <f aca="false">D15/D18-1</f>
        <v>0.00127406769580385</v>
      </c>
      <c r="E19" s="21" t="n">
        <f aca="false">E15/E18-1</f>
        <v>-0.230195628323382</v>
      </c>
      <c r="F19" s="21"/>
    </row>
    <row r="20" customFormat="false" ht="15" hidden="false" customHeight="false" outlineLevel="0" collapsed="false">
      <c r="A20" s="19" t="s">
        <v>187</v>
      </c>
      <c r="B20" s="28"/>
      <c r="C20" s="28"/>
      <c r="D20" s="35" t="n">
        <f aca="false">Assumptions!$B$7/D18</f>
        <v>21.9806659505908</v>
      </c>
      <c r="E20" s="35" t="n">
        <f aca="false">Assumptions!$B$7/E18</f>
        <v>12.8623507228158</v>
      </c>
      <c r="F20" s="28"/>
    </row>
    <row r="21" customFormat="false" ht="15" hidden="false" customHeight="false" outlineLevel="0" collapsed="false">
      <c r="A21" s="19" t="s">
        <v>188</v>
      </c>
      <c r="B21" s="29"/>
      <c r="C21" s="29"/>
      <c r="D21" s="31" t="n">
        <f aca="false">Assumptions!$B$17</f>
        <v>411.7</v>
      </c>
      <c r="E21" s="31" t="n">
        <f aca="false">Assumptions!$B$19</f>
        <v>692.21</v>
      </c>
      <c r="F21" s="29"/>
    </row>
    <row r="22" customFormat="false" ht="15" hidden="false" customHeight="false" outlineLevel="0" collapsed="false">
      <c r="A22" s="19" t="s">
        <v>189</v>
      </c>
      <c r="B22" s="21"/>
      <c r="C22" s="21"/>
      <c r="D22" s="21" t="n">
        <f aca="false">D7/D21-1</f>
        <v>-0.00938547486033514</v>
      </c>
      <c r="E22" s="21" t="n">
        <f aca="false">E7/E21-1</f>
        <v>-0.1962103696855</v>
      </c>
      <c r="F22" s="21"/>
    </row>
    <row r="24" customFormat="false" ht="15" hidden="false" customHeight="false" outlineLevel="0" collapsed="false">
      <c r="A24" s="5" t="s">
        <v>190</v>
      </c>
    </row>
    <row r="25" customFormat="false" ht="15" hidden="false" customHeight="false" outlineLevel="0" collapsed="false">
      <c r="A25" s="5" t="s">
        <v>191</v>
      </c>
    </row>
    <row r="26" customFormat="false" ht="15" hidden="false" customHeight="false" outlineLevel="0" collapsed="false">
      <c r="A26" s="5" t="s">
        <v>192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Q1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7" min="1" style="0" width="12"/>
  </cols>
  <sheetData>
    <row r="1" customFormat="false" ht="15" hidden="false" customHeight="false" outlineLevel="0" collapsed="false">
      <c r="A1" s="1" t="s">
        <v>193</v>
      </c>
    </row>
    <row r="2" customFormat="false" ht="15" hidden="false" customHeight="false" outlineLevel="0" collapsed="false">
      <c r="A2" s="2" t="s">
        <v>1</v>
      </c>
    </row>
    <row r="4" customFormat="false" ht="23.85" hidden="false" customHeight="false" outlineLevel="0" collapsed="false">
      <c r="A4" s="6" t="s">
        <v>194</v>
      </c>
      <c r="B4" s="7" t="s">
        <v>195</v>
      </c>
      <c r="C4" s="7" t="s">
        <v>196</v>
      </c>
      <c r="D4" s="7" t="s">
        <v>197</v>
      </c>
      <c r="E4" s="7" t="s">
        <v>198</v>
      </c>
      <c r="F4" s="7" t="s">
        <v>199</v>
      </c>
      <c r="G4" s="7" t="s">
        <v>200</v>
      </c>
      <c r="H4" s="7" t="s">
        <v>201</v>
      </c>
      <c r="I4" s="7" t="s">
        <v>202</v>
      </c>
      <c r="J4" s="7" t="s">
        <v>203</v>
      </c>
      <c r="K4" s="7" t="s">
        <v>204</v>
      </c>
      <c r="L4" s="7" t="s">
        <v>205</v>
      </c>
      <c r="M4" s="7" t="s">
        <v>206</v>
      </c>
      <c r="N4" s="7" t="s">
        <v>207</v>
      </c>
      <c r="O4" s="7" t="s">
        <v>208</v>
      </c>
      <c r="P4" s="7" t="s">
        <v>209</v>
      </c>
      <c r="Q4" s="7" t="s">
        <v>210</v>
      </c>
    </row>
    <row r="5" customFormat="false" ht="15" hidden="false" customHeight="false" outlineLevel="0" collapsed="false">
      <c r="A5" s="3" t="s">
        <v>211</v>
      </c>
      <c r="B5" s="37" t="n">
        <v>0.05</v>
      </c>
      <c r="C5" s="37" t="n">
        <v>0</v>
      </c>
      <c r="D5" s="37" t="n">
        <v>0.1</v>
      </c>
      <c r="E5" s="37" t="n">
        <v>0.05</v>
      </c>
      <c r="F5" s="38" t="n">
        <v>0.6</v>
      </c>
      <c r="G5" s="38" t="n">
        <v>0.59</v>
      </c>
      <c r="H5" s="39" t="n">
        <v>11</v>
      </c>
      <c r="I5" s="37" t="n">
        <v>0.25</v>
      </c>
      <c r="J5" s="29" t="n">
        <f aca="false">Financials!$D$5*(1+B5)*(1+D5)</f>
        <v>438.055695</v>
      </c>
      <c r="K5" s="29" t="n">
        <f aca="false">J5*(1+C5)*(1+E5)</f>
        <v>459.95847975</v>
      </c>
      <c r="L5" s="29" t="n">
        <f aca="false">J5+Assumptions!$B$43</f>
        <v>471.055695</v>
      </c>
      <c r="M5" s="29" t="n">
        <f aca="false">K5+Assumptions!$B$44</f>
        <v>496.95847975</v>
      </c>
      <c r="N5" s="23" t="n">
        <f aca="false">(L5*F5+Assumptions!$B$47)*(1-Assumptions!$B$37)/Assumptions!$B$48</f>
        <v>9.885475133125</v>
      </c>
      <c r="O5" s="23" t="n">
        <f aca="false">(M5*G5+Assumptions!$B$47)*(1-Assumptions!$B$37)/Assumptions!$B$49</f>
        <v>10.3394577751612</v>
      </c>
      <c r="P5" s="40" t="n">
        <f aca="false">O5*H5</f>
        <v>113.734035526774</v>
      </c>
      <c r="Q5" s="21" t="n">
        <f aca="false">P5/Assumptions!$B$7-1</f>
        <v>-0.444223829521239</v>
      </c>
    </row>
    <row r="6" customFormat="false" ht="15" hidden="false" customHeight="false" outlineLevel="0" collapsed="false">
      <c r="A6" s="3" t="s">
        <v>212</v>
      </c>
      <c r="B6" s="41" t="n">
        <f aca="false">Assumptions!$B$39</f>
        <v>0.2</v>
      </c>
      <c r="C6" s="41" t="n">
        <f aca="false">Assumptions!$B$40</f>
        <v>0.15</v>
      </c>
      <c r="D6" s="41" t="n">
        <f aca="false">Assumptions!$B$41</f>
        <v>0.15</v>
      </c>
      <c r="E6" s="41" t="n">
        <f aca="false">Assumptions!$B$42</f>
        <v>0.1</v>
      </c>
      <c r="F6" s="34" t="n">
        <f aca="false">Assumptions!$B$45</f>
        <v>0.63</v>
      </c>
      <c r="G6" s="34" t="n">
        <f aca="false">Assumptions!$B$46</f>
        <v>0.62</v>
      </c>
      <c r="H6" s="42" t="n">
        <f aca="false">Assumptions!$B$50</f>
        <v>16</v>
      </c>
      <c r="I6" s="37" t="n">
        <v>0.5</v>
      </c>
      <c r="J6" s="29" t="n">
        <f aca="false">Financials!$D$5*(1+B6)*(1+D6)</f>
        <v>523.39122</v>
      </c>
      <c r="K6" s="29" t="n">
        <f aca="false">J6*(1+C6)*(1+E6)</f>
        <v>662.0898933</v>
      </c>
      <c r="L6" s="29" t="n">
        <f aca="false">J6+Assumptions!$B$43</f>
        <v>556.39122</v>
      </c>
      <c r="M6" s="29" t="n">
        <f aca="false">K6+Assumptions!$B$44</f>
        <v>699.0898933</v>
      </c>
      <c r="N6" s="23" t="n">
        <f aca="false">(L6*F6+Assumptions!$B$47)*(1-Assumptions!$B$37)/Assumptions!$B$48</f>
        <v>12.247587553375</v>
      </c>
      <c r="O6" s="23" t="n">
        <f aca="false">(M6*G6+Assumptions!$B$47)*(1-Assumptions!$B$37)/Assumptions!$B$49</f>
        <v>15.2592999059416</v>
      </c>
      <c r="P6" s="40" t="n">
        <f aca="false">O6*H6</f>
        <v>244.148798495066</v>
      </c>
      <c r="Q6" s="21" t="n">
        <f aca="false">P6/Assumptions!$B$7-1</f>
        <v>0.19306488709473</v>
      </c>
    </row>
    <row r="7" customFormat="false" ht="15" hidden="false" customHeight="false" outlineLevel="0" collapsed="false">
      <c r="A7" s="3" t="s">
        <v>213</v>
      </c>
      <c r="B7" s="37" t="n">
        <v>0.5</v>
      </c>
      <c r="C7" s="37" t="n">
        <v>0.3</v>
      </c>
      <c r="D7" s="37" t="n">
        <v>0.15</v>
      </c>
      <c r="E7" s="37" t="n">
        <v>0.1</v>
      </c>
      <c r="F7" s="38" t="n">
        <v>0.64</v>
      </c>
      <c r="G7" s="38" t="n">
        <v>0.64</v>
      </c>
      <c r="H7" s="39" t="n">
        <v>18</v>
      </c>
      <c r="I7" s="37" t="n">
        <v>0.25</v>
      </c>
      <c r="J7" s="29" t="n">
        <f aca="false">Financials!$D$5*(1+B7)*(1+D7)</f>
        <v>654.239025</v>
      </c>
      <c r="K7" s="29" t="n">
        <f aca="false">J7*(1+C7)*(1+E7)</f>
        <v>935.56180575</v>
      </c>
      <c r="L7" s="29" t="n">
        <f aca="false">J7+Assumptions!$B$43</f>
        <v>687.239025</v>
      </c>
      <c r="M7" s="29" t="n">
        <f aca="false">K7+Assumptions!$B$44</f>
        <v>972.56180575</v>
      </c>
      <c r="N7" s="23" t="n">
        <f aca="false">(L7*F7+Assumptions!$B$47)*(1-Assumptions!$B$37)/Assumptions!$B$48</f>
        <v>15.35470979</v>
      </c>
      <c r="O7" s="23" t="n">
        <f aca="false">(M7*G7+Assumptions!$B$47)*(1-Assumptions!$B$37)/Assumptions!$B$49</f>
        <v>21.8903163442353</v>
      </c>
      <c r="P7" s="40" t="n">
        <f aca="false">O7*H7</f>
        <v>394.025694196235</v>
      </c>
      <c r="Q7" s="21" t="n">
        <f aca="false">P7/Assumptions!$B$7-1</f>
        <v>0.925457848886998</v>
      </c>
    </row>
    <row r="8" customFormat="false" ht="15" hidden="false" customHeight="false" outlineLevel="0" collapsed="false">
      <c r="A8" s="3" t="s">
        <v>214</v>
      </c>
      <c r="I8" s="43" t="n">
        <f aca="false">SUM(I5:I7)</f>
        <v>1</v>
      </c>
      <c r="P8" s="40" t="n">
        <f aca="false">SUMPRODUCT(I5:I7,P5:P7)</f>
        <v>249.014331678285</v>
      </c>
      <c r="Q8" s="21" t="n">
        <f aca="false">P8/Assumptions!$B$7-1</f>
        <v>0.216840948388805</v>
      </c>
    </row>
    <row r="10" customFormat="false" ht="15" hidden="false" customHeight="false" outlineLevel="0" collapsed="false">
      <c r="A10" s="5" t="s">
        <v>215</v>
      </c>
    </row>
    <row r="11" customFormat="false" ht="15" hidden="false" customHeight="false" outlineLevel="0" collapsed="false">
      <c r="A11" s="5" t="s">
        <v>216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1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30"/>
    <col collapsed="false" customWidth="true" hidden="false" outlineLevel="0" max="4" min="2" style="0" width="14"/>
  </cols>
  <sheetData>
    <row r="1" customFormat="false" ht="15" hidden="false" customHeight="false" outlineLevel="0" collapsed="false">
      <c r="A1" s="1" t="s">
        <v>217</v>
      </c>
    </row>
    <row r="2" customFormat="false" ht="15" hidden="false" customHeight="false" outlineLevel="0" collapsed="false">
      <c r="A2" s="2" t="s">
        <v>1</v>
      </c>
    </row>
    <row r="3" customFormat="false" ht="15" hidden="false" customHeight="false" outlineLevel="0" collapsed="false">
      <c r="B3" s="44" t="n">
        <v>12</v>
      </c>
      <c r="C3" s="44" t="n">
        <v>16</v>
      </c>
      <c r="D3" s="44" t="n">
        <v>20</v>
      </c>
    </row>
    <row r="4" customFormat="false" ht="15" hidden="false" customHeight="false" outlineLevel="0" collapsed="false">
      <c r="A4" s="6" t="s">
        <v>218</v>
      </c>
      <c r="B4" s="7" t="s">
        <v>219</v>
      </c>
      <c r="C4" s="7" t="s">
        <v>220</v>
      </c>
      <c r="D4" s="7" t="s">
        <v>221</v>
      </c>
    </row>
    <row r="5" customFormat="false" ht="15" hidden="false" customHeight="false" outlineLevel="0" collapsed="false">
      <c r="A5" s="45" t="n">
        <v>0.1</v>
      </c>
      <c r="B5" s="46" t="n">
        <f aca="false">B$3*((Financials!$D$5*(1+$A5)*(1+Assumptions!$B$41)*(1+Assumptions!$B$40)*(1+Assumptions!$B$42)+Assumptions!$B$44)*Assumptions!$B$46+Assumptions!$B$47)*(1-Assumptions!$B$37)/Assumptions!$B$49</f>
        <v>168.70975274687</v>
      </c>
      <c r="C5" s="46" t="n">
        <f aca="false">C$3*((Financials!$D$5*(1+$A5)*(1+Assumptions!$B$41)*(1+Assumptions!$B$40)*(1+Assumptions!$B$42)+Assumptions!$B$44)*Assumptions!$B$46+Assumptions!$B$47)*(1-Assumptions!$B$37)/Assumptions!$B$49</f>
        <v>224.946336995827</v>
      </c>
      <c r="D5" s="46" t="n">
        <f aca="false">D$3*((Financials!$D$5*(1+$A5)*(1+Assumptions!$B$41)*(1+Assumptions!$B$40)*(1+Assumptions!$B$42)+Assumptions!$B$44)*Assumptions!$B$46+Assumptions!$B$47)*(1-Assumptions!$B$37)/Assumptions!$B$49</f>
        <v>281.182921244784</v>
      </c>
    </row>
    <row r="6" customFormat="false" ht="15" hidden="false" customHeight="false" outlineLevel="0" collapsed="false">
      <c r="A6" s="45" t="n">
        <v>0.2</v>
      </c>
      <c r="B6" s="46" t="n">
        <f aca="false">B$3*((Financials!$D$5*(1+$A6)*(1+Assumptions!$B$41)*(1+Assumptions!$B$40)*(1+Assumptions!$B$42)+Assumptions!$B$44)*Assumptions!$B$46+Assumptions!$B$47)*(1-Assumptions!$B$37)/Assumptions!$B$49</f>
        <v>183.111598871299</v>
      </c>
      <c r="C6" s="46" t="n">
        <f aca="false">C$3*((Financials!$D$5*(1+$A6)*(1+Assumptions!$B$41)*(1+Assumptions!$B$40)*(1+Assumptions!$B$42)+Assumptions!$B$44)*Assumptions!$B$46+Assumptions!$B$47)*(1-Assumptions!$B$37)/Assumptions!$B$49</f>
        <v>244.148798495066</v>
      </c>
      <c r="D6" s="46" t="n">
        <f aca="false">D$3*((Financials!$D$5*(1+$A6)*(1+Assumptions!$B$41)*(1+Assumptions!$B$40)*(1+Assumptions!$B$42)+Assumptions!$B$44)*Assumptions!$B$46+Assumptions!$B$47)*(1-Assumptions!$B$37)/Assumptions!$B$49</f>
        <v>305.185998118832</v>
      </c>
    </row>
    <row r="7" customFormat="false" ht="15" hidden="false" customHeight="false" outlineLevel="0" collapsed="false">
      <c r="A7" s="45" t="n">
        <v>0.35</v>
      </c>
      <c r="B7" s="46" t="n">
        <f aca="false">B$3*((Financials!$D$5*(1+$A7)*(1+Assumptions!$B$41)*(1+Assumptions!$B$40)*(1+Assumptions!$B$42)+Assumptions!$B$44)*Assumptions!$B$46+Assumptions!$B$47)*(1-Assumptions!$B$37)/Assumptions!$B$49</f>
        <v>204.714368057943</v>
      </c>
      <c r="C7" s="46" t="n">
        <f aca="false">C$3*((Financials!$D$5*(1+$A7)*(1+Assumptions!$B$41)*(1+Assumptions!$B$40)*(1+Assumptions!$B$42)+Assumptions!$B$44)*Assumptions!$B$46+Assumptions!$B$47)*(1-Assumptions!$B$37)/Assumptions!$B$49</f>
        <v>272.952490743923</v>
      </c>
      <c r="D7" s="46" t="n">
        <f aca="false">D$3*((Financials!$D$5*(1+$A7)*(1+Assumptions!$B$41)*(1+Assumptions!$B$40)*(1+Assumptions!$B$42)+Assumptions!$B$44)*Assumptions!$B$46+Assumptions!$B$47)*(1-Assumptions!$B$37)/Assumptions!$B$49</f>
        <v>341.190613429904</v>
      </c>
    </row>
    <row r="9" customFormat="false" ht="15" hidden="false" customHeight="false" outlineLevel="0" collapsed="false">
      <c r="A9" s="19" t="s">
        <v>222</v>
      </c>
      <c r="B9" s="47" t="n">
        <f aca="false">COUNTIF(B5:D7,"&gt;"&amp;Assumptions!$B$7)</f>
        <v>7</v>
      </c>
    </row>
    <row r="10" customFormat="false" ht="15" hidden="false" customHeight="false" outlineLevel="0" collapsed="false">
      <c r="A10" s="19" t="s">
        <v>223</v>
      </c>
      <c r="B10" s="47" t="n">
        <f aca="false">COUNTIF(B5:D7,"&gt;"&amp;Assumptions!$B$7*1.15)</f>
        <v>5</v>
      </c>
    </row>
    <row r="12" customFormat="false" ht="15" hidden="false" customHeight="false" outlineLevel="0" collapsed="false">
      <c r="A12" s="5" t="s">
        <v>224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2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64"/>
    <col collapsed="false" customWidth="true" hidden="false" outlineLevel="0" max="2" min="2" style="0" width="16"/>
    <col collapsed="false" customWidth="true" hidden="false" outlineLevel="0" max="3" min="3" style="0" width="70"/>
  </cols>
  <sheetData>
    <row r="1" customFormat="false" ht="15" hidden="false" customHeight="false" outlineLevel="0" collapsed="false">
      <c r="A1" s="1" t="s">
        <v>225</v>
      </c>
    </row>
    <row r="2" customFormat="false" ht="15" hidden="false" customHeight="false" outlineLevel="0" collapsed="false">
      <c r="A2" s="2" t="s">
        <v>1</v>
      </c>
    </row>
    <row r="4" customFormat="false" ht="15" hidden="false" customHeight="false" outlineLevel="0" collapsed="false">
      <c r="A4" s="0" t="s">
        <v>226</v>
      </c>
      <c r="B4" s="36" t="n">
        <f aca="false">Assumptions!$B$7</f>
        <v>204.64</v>
      </c>
    </row>
    <row r="5" customFormat="false" ht="15" hidden="false" customHeight="false" outlineLevel="0" collapsed="false">
      <c r="A5" s="0" t="s">
        <v>227</v>
      </c>
      <c r="B5" s="31" t="n">
        <f aca="false">Assumptions!$B$7*Assumptions!$B$13</f>
        <v>4931.824</v>
      </c>
    </row>
    <row r="6" customFormat="false" ht="15" hidden="false" customHeight="false" outlineLevel="0" collapsed="false">
      <c r="A6" s="0" t="s">
        <v>228</v>
      </c>
      <c r="B6" s="31" t="n">
        <f aca="false">Assumptions!$B$14-Assumptions!$B$15</f>
        <v>23.22</v>
      </c>
    </row>
    <row r="7" customFormat="false" ht="15" hidden="false" customHeight="false" outlineLevel="0" collapsed="false">
      <c r="A7" s="0" t="s">
        <v>229</v>
      </c>
      <c r="B7" s="29" t="n">
        <f aca="false">B5-B6</f>
        <v>4908.604</v>
      </c>
    </row>
    <row r="8" customFormat="false" ht="15" hidden="false" customHeight="false" outlineLevel="0" collapsed="false">
      <c r="A8" s="0" t="s">
        <v>230</v>
      </c>
      <c r="B8" s="23" t="n">
        <f aca="false">Financials!F15</f>
        <v>15.2592999059416</v>
      </c>
    </row>
    <row r="9" customFormat="false" ht="15" hidden="false" customHeight="false" outlineLevel="0" collapsed="false">
      <c r="A9" s="0" t="s">
        <v>231</v>
      </c>
      <c r="B9" s="42" t="n">
        <f aca="false">Assumptions!$B$50</f>
        <v>16</v>
      </c>
    </row>
    <row r="10" customFormat="false" ht="15" hidden="false" customHeight="false" outlineLevel="0" collapsed="false">
      <c r="A10" s="0" t="s">
        <v>232</v>
      </c>
      <c r="B10" s="48" t="n">
        <f aca="false">Scenarios!P6</f>
        <v>244.148798495066</v>
      </c>
    </row>
    <row r="11" customFormat="false" ht="15" hidden="false" customHeight="false" outlineLevel="0" collapsed="false">
      <c r="A11" s="0" t="s">
        <v>233</v>
      </c>
      <c r="B11" s="21" t="n">
        <f aca="false">B10/B4-1</f>
        <v>0.19306488709473</v>
      </c>
    </row>
    <row r="12" customFormat="false" ht="15" hidden="false" customHeight="false" outlineLevel="0" collapsed="false">
      <c r="A12" s="0" t="s">
        <v>234</v>
      </c>
      <c r="B12" s="23" t="n">
        <f aca="false">Scenarios!P8</f>
        <v>249.014331678285</v>
      </c>
    </row>
    <row r="13" customFormat="false" ht="15" hidden="false" customHeight="false" outlineLevel="0" collapsed="false">
      <c r="A13" s="0" t="s">
        <v>235</v>
      </c>
      <c r="B13" s="49" t="str">
        <f aca="false">IF(B11&gt;=0.15,"LONG",IF(B11&lt;=-0.25,"SHORT","NO CALL"))</f>
        <v>LONG</v>
      </c>
    </row>
    <row r="14" customFormat="false" ht="15" hidden="false" customHeight="false" outlineLevel="0" collapsed="false">
      <c r="A14" s="0" t="s">
        <v>236</v>
      </c>
      <c r="B14" s="49" t="s">
        <v>237</v>
      </c>
    </row>
    <row r="15" customFormat="false" ht="15" hidden="false" customHeight="false" outlineLevel="0" collapsed="false">
      <c r="A15" s="0" t="s">
        <v>238</v>
      </c>
      <c r="B15" s="50" t="n">
        <f aca="false">MROUND(B10,5)</f>
        <v>245</v>
      </c>
    </row>
    <row r="16" customFormat="false" ht="15" hidden="false" customHeight="false" outlineLevel="0" collapsed="false">
      <c r="A16" s="0" t="s">
        <v>239</v>
      </c>
      <c r="B16" s="23" t="n">
        <f aca="false">B4/B9</f>
        <v>12.79</v>
      </c>
    </row>
    <row r="17" customFormat="false" ht="15" hidden="false" customHeight="false" outlineLevel="0" collapsed="false">
      <c r="A17" s="0" t="s">
        <v>240</v>
      </c>
      <c r="B17" s="23" t="n">
        <f aca="false">((Scenarios!J6+Assumptions!$B$44)*Assumptions!$B$46+Assumptions!$B$47)*(1-Assumptions!$B$37)/Assumptions!$B$49</f>
        <v>12.2423123778992</v>
      </c>
    </row>
    <row r="18" customFormat="false" ht="15" hidden="false" customHeight="false" outlineLevel="0" collapsed="false">
      <c r="A18" s="0" t="s">
        <v>241</v>
      </c>
      <c r="B18" s="28" t="n">
        <f aca="false">Financials!D17</f>
        <v>21.9526967288528</v>
      </c>
    </row>
    <row r="19" customFormat="false" ht="15" hidden="false" customHeight="false" outlineLevel="0" collapsed="false">
      <c r="B19" s="28" t="n">
        <f aca="false">Financials!E17</f>
        <v>16.7085966202061</v>
      </c>
    </row>
    <row r="20" customFormat="false" ht="15" hidden="false" customHeight="false" outlineLevel="0" collapsed="false">
      <c r="B20" s="28" t="n">
        <f aca="false">Financials!F17</f>
        <v>13.4108380634369</v>
      </c>
    </row>
    <row r="21" customFormat="false" ht="15" hidden="false" customHeight="false" outlineLevel="0" collapsed="false">
      <c r="A21" s="0" t="s">
        <v>242</v>
      </c>
      <c r="B21" s="28" t="n">
        <f aca="false">Financials!D20</f>
        <v>21.9806659505908</v>
      </c>
    </row>
    <row r="22" customFormat="false" ht="15" hidden="false" customHeight="false" outlineLevel="0" collapsed="false">
      <c r="B22" s="28" t="n">
        <f aca="false">Financials!E20</f>
        <v>12.8623507228158</v>
      </c>
    </row>
    <row r="23" customFormat="false" ht="15" hidden="false" customHeight="false" outlineLevel="0" collapsed="false">
      <c r="A23" s="0" t="s">
        <v>243</v>
      </c>
      <c r="B23" s="21" t="n">
        <f aca="false">B4/Assumptions!$B$9-1</f>
        <v>-0.144624644708243</v>
      </c>
    </row>
    <row r="24" customFormat="false" ht="15" hidden="false" customHeight="false" outlineLevel="0" collapsed="false">
      <c r="A24" s="0" t="s">
        <v>244</v>
      </c>
      <c r="B24" s="21" t="n">
        <f aca="false">B4/Assumptions!$B$12-1</f>
        <v>0.0972654155495978</v>
      </c>
    </row>
    <row r="25" customFormat="false" ht="15" hidden="false" customHeight="false" outlineLevel="0" collapsed="false">
      <c r="A25" s="0" t="s">
        <v>245</v>
      </c>
      <c r="B25" s="33" t="n">
        <v>108.5</v>
      </c>
    </row>
    <row r="26" customFormat="false" ht="15" hidden="false" customHeight="false" outlineLevel="0" collapsed="false">
      <c r="A26" s="0" t="s">
        <v>246</v>
      </c>
      <c r="B26" s="28" t="n">
        <f aca="false">B25/B6</f>
        <v>4.67269595176572</v>
      </c>
    </row>
    <row r="28" customFormat="false" ht="15" hidden="false" customHeight="false" outlineLevel="0" collapsed="false">
      <c r="A28" s="5" t="s">
        <v>247</v>
      </c>
    </row>
    <row r="29" customFormat="false" ht="15" hidden="false" customHeight="false" outlineLevel="0" collapsed="false">
      <c r="A29" s="5" t="s">
        <v>248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1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26"/>
    <col collapsed="false" customWidth="true" hidden="false" outlineLevel="0" max="2" min="2" style="0" width="16"/>
    <col collapsed="false" customWidth="true" hidden="false" outlineLevel="0" max="3" min="3" style="0" width="14"/>
    <col collapsed="false" customWidth="true" hidden="false" outlineLevel="0" max="4" min="4" style="0" width="70"/>
  </cols>
  <sheetData>
    <row r="1" customFormat="false" ht="15" hidden="false" customHeight="false" outlineLevel="0" collapsed="false">
      <c r="A1" s="1" t="s">
        <v>249</v>
      </c>
    </row>
    <row r="2" customFormat="false" ht="15" hidden="false" customHeight="false" outlineLevel="0" collapsed="false">
      <c r="A2" s="2" t="s">
        <v>1</v>
      </c>
    </row>
    <row r="4" customFormat="false" ht="15" hidden="false" customHeight="false" outlineLevel="0" collapsed="false">
      <c r="A4" s="6" t="s">
        <v>2</v>
      </c>
      <c r="B4" s="7" t="s">
        <v>250</v>
      </c>
      <c r="C4" s="7" t="s">
        <v>251</v>
      </c>
      <c r="D4" s="7" t="s">
        <v>252</v>
      </c>
    </row>
    <row r="5" customFormat="false" ht="15" hidden="false" customHeight="false" outlineLevel="0" collapsed="false">
      <c r="A5" s="51" t="s">
        <v>253</v>
      </c>
      <c r="B5" s="0" t="s">
        <v>254</v>
      </c>
      <c r="C5" s="52" t="n">
        <v>16.92</v>
      </c>
      <c r="D5" s="0" t="s">
        <v>255</v>
      </c>
    </row>
    <row r="6" customFormat="false" ht="15" hidden="false" customHeight="false" outlineLevel="0" collapsed="false">
      <c r="A6" s="0" t="s">
        <v>256</v>
      </c>
      <c r="B6" s="0" t="s">
        <v>257</v>
      </c>
      <c r="C6" s="52" t="n">
        <v>18.74</v>
      </c>
      <c r="D6" s="0" t="s">
        <v>258</v>
      </c>
    </row>
    <row r="7" customFormat="false" ht="15" hidden="false" customHeight="false" outlineLevel="0" collapsed="false">
      <c r="A7" s="0" t="s">
        <v>259</v>
      </c>
      <c r="B7" s="0" t="s">
        <v>260</v>
      </c>
      <c r="C7" s="52" t="n">
        <v>19.05</v>
      </c>
      <c r="D7" s="0" t="s">
        <v>261</v>
      </c>
    </row>
    <row r="8" customFormat="false" ht="15" hidden="false" customHeight="false" outlineLevel="0" collapsed="false">
      <c r="A8" s="0" t="s">
        <v>262</v>
      </c>
      <c r="B8" s="0" t="s">
        <v>263</v>
      </c>
      <c r="C8" s="52" t="n">
        <v>45.16</v>
      </c>
      <c r="D8" s="0" t="s">
        <v>264</v>
      </c>
    </row>
    <row r="9" customFormat="false" ht="15" hidden="false" customHeight="false" outlineLevel="0" collapsed="false">
      <c r="A9" s="0" t="s">
        <v>265</v>
      </c>
      <c r="B9" s="0" t="s">
        <v>266</v>
      </c>
      <c r="C9" s="52" t="n">
        <v>34.76</v>
      </c>
      <c r="D9" s="0" t="s">
        <v>267</v>
      </c>
    </row>
    <row r="10" customFormat="false" ht="15" hidden="false" customHeight="false" outlineLevel="0" collapsed="false">
      <c r="A10" s="0" t="s">
        <v>268</v>
      </c>
      <c r="B10" s="0" t="s">
        <v>269</v>
      </c>
      <c r="C10" s="52" t="n">
        <v>5.01</v>
      </c>
      <c r="D10" s="0" t="s">
        <v>270</v>
      </c>
    </row>
    <row r="12" customFormat="false" ht="15" hidden="false" customHeight="false" outlineLevel="0" collapsed="false">
      <c r="A12" s="19" t="s">
        <v>271</v>
      </c>
      <c r="C12" s="28" t="n">
        <f aca="false">MEDIAN(C6:C10)</f>
        <v>19.05</v>
      </c>
    </row>
    <row r="14" customFormat="false" ht="15" hidden="false" customHeight="false" outlineLevel="0" collapsed="false">
      <c r="A14" s="5" t="s">
        <v>272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LibreOffice/26.8.0.3$MacOSX_AARCH64 LibreOffice_project/bce0998afefdbc355585ca324285661a2170ba77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2026-11-02T10:09:11Z</dcterms:created>
  <dc:creator>openpyxl</dc:creator>
  <dc:description/>
  <dc:language>en-GB</dc:language>
  <cp:lastModifiedBy/>
  <dcterms:modified xsi:type="dcterms:W3CDTF">2026-11-02T10:09:11Z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