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Quarters" sheetId="3" state="visible" r:id="rId5"/>
    <sheet name="Annual" sheetId="4" state="visible" r:id="rId6"/>
    <sheet name="Valuation" sheetId="5" state="visible" r:id="rId7"/>
    <sheet name="Scenarios" sheetId="6" state="visible" r:id="rId8"/>
    <sheet name="Sensitivity" sheetId="7" state="visible" r:id="rId9"/>
    <sheet name="Cash" sheetId="8" state="visible" r:id="rId10"/>
    <sheet name="Peers" sheetId="9" state="visible" r:id="rId11"/>
    <sheet name="Source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<sst xmlns="http://schemas.openxmlformats.org/spreadsheetml/2006/main" count="412" uniqueCount="317">
  <si>
    <t xml:space="preserve">COHERENT CORP. (NYSE: COHR)  INITIATION MODEL</t>
  </si>
  <si>
    <t xml:space="preserve">Tommy Lau | Coherent Corp. (NYSE: COHR) | 2026-11-02 | Personal research, not investment advice.</t>
  </si>
  <si>
    <t xml:space="preserve">Item</t>
  </si>
  <si>
    <t xml:space="preserve">Value</t>
  </si>
  <si>
    <t xml:space="preserve">Note</t>
  </si>
  <si>
    <t xml:space="preserve">Call (Tommy Lau)</t>
  </si>
  <si>
    <t xml:space="preserve">LONG</t>
  </si>
  <si>
    <t xml:space="preserve">LONG at +15% or more, SHORT at -25% or worse, NO CALL between.</t>
  </si>
  <si>
    <t xml:space="preserve">Conviction</t>
  </si>
  <si>
    <t xml:space="preserve">Low</t>
  </si>
  <si>
    <t xml:space="preserve">Judgement, not formula.</t>
  </si>
  <si>
    <t xml:space="preserve">Target, US$</t>
  </si>
  <si>
    <t xml:space="preserve">Base value rounded down.</t>
  </si>
  <si>
    <t xml:space="preserve">Base value per share, US$</t>
  </si>
  <si>
    <t xml:space="preserve">Base multiple x FY28E non-GAAP EPS.</t>
  </si>
  <si>
    <t xml:space="preserve">Reference price, US$</t>
  </si>
  <si>
    <t xml:space="preserve">NYSE close, 30 October 2026.</t>
  </si>
  <si>
    <t xml:space="preserve">Base value against price</t>
  </si>
  <si>
    <t xml:space="preserve">Probability-weighted value, US$</t>
  </si>
  <si>
    <t xml:space="preserve">25 / 50 / 25 bear / base / bull.</t>
  </si>
  <si>
    <t xml:space="preserve">FY28E non-GAAP EPS, US$</t>
  </si>
  <si>
    <t xml:space="preserve">My estimate.</t>
  </si>
  <si>
    <t xml:space="preserve">Horizon</t>
  </si>
  <si>
    <t xml:space="preserve">12 months, to October 2027</t>
  </si>
  <si>
    <t xml:space="preserve">Wrong if</t>
  </si>
  <si>
    <t xml:space="preserve">See note</t>
  </si>
  <si>
    <t xml:space="preserve">Coherent's non-GAAP gross margin falls below 39 per cent in any quarter to June 2027, which would say it is buying volume with price; or fiscal 2027 revenue lands below US$9.5 billion; or, before October 2027, an Nvidia DGX SuperPOD reference architecture makes a co-packaged switch the default for the compute fabric, which would break the claim the call rests on.</t>
  </si>
  <si>
    <t xml:space="preserve">Tabs</t>
  </si>
  <si>
    <t xml:space="preserve">Assumptions</t>
  </si>
  <si>
    <t xml:space="preserve">Every input, with its source. Change the yellow cells to move the value.</t>
  </si>
  <si>
    <t xml:space="preserve">Quarters</t>
  </si>
  <si>
    <t xml:space="preserve">FY25 and FY26 by quarter; my FY27 by quarter.</t>
  </si>
  <si>
    <t xml:space="preserve">Annual</t>
  </si>
  <si>
    <t xml:space="preserve">FY24A to FY28E and the bridge to non-GAAP EPS; against consensus.</t>
  </si>
  <si>
    <t xml:space="preserve">Valuation</t>
  </si>
  <si>
    <t xml:space="preserve">Base value, the band, multiples at the price, what the price needs.</t>
  </si>
  <si>
    <t xml:space="preserve">Scenarios</t>
  </si>
  <si>
    <t xml:space="preserve">Bear / base / bull and the probability-weighted value.</t>
  </si>
  <si>
    <t xml:space="preserve">Sensitivity</t>
  </si>
  <si>
    <t xml:space="preserve">FY28E EPS against the multiple.</t>
  </si>
  <si>
    <t xml:space="preserve">Cash</t>
  </si>
  <si>
    <t xml:space="preserve">Operating cash flow, capital spending, inventory and purchase commitments.</t>
  </si>
  <si>
    <t xml:space="preserve">Peers</t>
  </si>
  <si>
    <t xml:space="preserve">Forward P/E used to set the multiple.</t>
  </si>
  <si>
    <t xml:space="preserve">Sources</t>
  </si>
  <si>
    <t xml:space="preserve">Every source used.</t>
  </si>
  <si>
    <t xml:space="preserve">Colour key: blue = hardcoded input; yellow fill = my own assumption; green = link to another tab; black = formula.</t>
  </si>
  <si>
    <t xml:space="preserve">Companion note: 2026-11-02_Coherent_Initiation.pdf. Personal research, not investment advice.</t>
  </si>
  <si>
    <t xml:space="preserve">ASSUMPTIONS AND INPUTS</t>
  </si>
  <si>
    <t xml:space="preserve">Blue = hardcoded input. Yellow fill = my own assumption (change these to move the value). Green = link to another tab. Black = formula. US$ million unless stated. Fiscal year ends 30 June.</t>
  </si>
  <si>
    <t xml:space="preserve">Input</t>
  </si>
  <si>
    <t xml:space="preserve">Unit</t>
  </si>
  <si>
    <t xml:space="preserve">Source / note</t>
  </si>
  <si>
    <t xml:space="preserve">MARKET</t>
  </si>
  <si>
    <t xml:space="preserve">Reference share price</t>
  </si>
  <si>
    <t xml:space="preserve">US$</t>
  </si>
  <si>
    <t xml:space="preserve">NYSE close, 30 October 2026. Nasdaq.com COHR history, retrieved 2 November 2026.</t>
  </si>
  <si>
    <t xml:space="preserve">Highest close, 2 June 2026</t>
  </si>
  <si>
    <t xml:space="preserve">Nasdaq.com. Intraday high US$440.00 on 3 June 2026.</t>
  </si>
  <si>
    <t xml:space="preserve">Close, 31 December 2025</t>
  </si>
  <si>
    <t xml:space="preserve">Nasdaq.com.</t>
  </si>
  <si>
    <t xml:space="preserve">Price Nvidia paid per share, 2 March 2026</t>
  </si>
  <si>
    <t xml:space="preserve">Form 8-K of 2 March 2026, Item 3.02: 7,788,161 shares for US$2bn.</t>
  </si>
  <si>
    <t xml:space="preserve">Common shares outstanding, 10 August 2026</t>
  </si>
  <si>
    <t xml:space="preserve">m</t>
  </si>
  <si>
    <t xml:space="preserve">Form 10-K for the year to 30 June 2026, filed 14 August 2026, cover page: 195,832,246.</t>
  </si>
  <si>
    <t xml:space="preserve">Cash and short-term investments, 30 June 2026</t>
  </si>
  <si>
    <t xml:space="preserve">US$m</t>
  </si>
  <si>
    <t xml:space="preserve">Q4 FY26 results release, Form 8-K Ex. 99.1, 12 August 2026: cash 1,162.0 + short-term investments 825.0. Restricted cash of 606.4 left out.</t>
  </si>
  <si>
    <t xml:space="preserve">Debt, 30 June 2026</t>
  </si>
  <si>
    <t xml:space="preserve">Q4 FY26 results release, Form 8-K Ex. 99.1, 12 August 2026: current portion 7.9 + long-term debt 3,214.3.</t>
  </si>
  <si>
    <t xml:space="preserve">Noncontrolling interests, 30 June 2026</t>
  </si>
  <si>
    <t xml:space="preserve">Q4 FY26 results release, Form 8-K Ex. 99.1, 12 August 2026.</t>
  </si>
  <si>
    <t xml:space="preserve">HISTORY (RELEASES; NON-GAAP AS RECAST)</t>
  </si>
  <si>
    <t xml:space="preserve">Revenue, FY24</t>
  </si>
  <si>
    <t xml:space="preserve">Q4 FY25 results release, 13 August 2025.</t>
  </si>
  <si>
    <t xml:space="preserve">Revenue, FY25</t>
  </si>
  <si>
    <t xml:space="preserve">Revenue, FY26</t>
  </si>
  <si>
    <t xml:space="preserve">Datacenter &amp; Communications revenue, FY25 (recast)</t>
  </si>
  <si>
    <t xml:space="preserve">Q4 FY26 results release, Form 8-K Ex. 99.1, 12 August 2026, Table 5.</t>
  </si>
  <si>
    <t xml:space="preserve">Datacenter &amp; Communications revenue, FY26</t>
  </si>
  <si>
    <t xml:space="preserve">Datacenter &amp; Communications segment profit, FY25</t>
  </si>
  <si>
    <t xml:space="preserve">Form 10-K for the year to 30 June 2026, filed 14 August 2026, MD&amp;A.</t>
  </si>
  <si>
    <t xml:space="preserve">Datacenter &amp; Communications segment profit, FY26</t>
  </si>
  <si>
    <t xml:space="preserve">Non-GAAP diluted EPS, FY24</t>
  </si>
  <si>
    <t xml:space="preserve">Derived: FY25 US$3.53 'improved $2.32' (Q4 FY25 release).</t>
  </si>
  <si>
    <t xml:space="preserve">Non-GAAP diluted EPS, FY25</t>
  </si>
  <si>
    <t xml:space="preserve">Non-GAAP diluted EPS, FY26</t>
  </si>
  <si>
    <t xml:space="preserve">Non-GAAP gross margin, FY25</t>
  </si>
  <si>
    <t xml:space="preserve">%</t>
  </si>
  <si>
    <t xml:space="preserve">Non-GAAP gross margin, FY26</t>
  </si>
  <si>
    <t xml:space="preserve">Non-GAAP operating margin, FY25</t>
  </si>
  <si>
    <t xml:space="preserve">Non-GAAP operating margin, FY26</t>
  </si>
  <si>
    <t xml:space="preserve">GUIDANCE AND CONSENSUS</t>
  </si>
  <si>
    <t xml:space="preserve">Q1 FY27 revenue guide, low</t>
  </si>
  <si>
    <t xml:space="preserve">Q4 FY26 results release, Form 8-K Ex. 99.1, 12 August 2026, Business Outlook.</t>
  </si>
  <si>
    <t xml:space="preserve">Q1 FY27 revenue guide, high</t>
  </si>
  <si>
    <t xml:space="preserve">Q1 FY27 non-GAAP EPS guide, low</t>
  </si>
  <si>
    <t xml:space="preserve">Q1 FY27 non-GAAP EPS guide, high</t>
  </si>
  <si>
    <t xml:space="preserve">FY27 consensus non-GAAP EPS</t>
  </si>
  <si>
    <t xml:space="preserve">stockanalysis.com (S&amp;P Global), updated 30 October 2026. Cross-check only.</t>
  </si>
  <si>
    <t xml:space="preserve">FY28 consensus non-GAAP EPS</t>
  </si>
  <si>
    <t xml:space="preserve">stockanalysis.com, as above. Cross-check only.</t>
  </si>
  <si>
    <t xml:space="preserve">FY27 consensus revenue</t>
  </si>
  <si>
    <t xml:space="preserve">stockanalysis.com, as above.</t>
  </si>
  <si>
    <t xml:space="preserve">FY28 consensus revenue</t>
  </si>
  <si>
    <t xml:space="preserve">Average analyst target</t>
  </si>
  <si>
    <t xml:space="preserve">stockanalysis.com: 26 analysts, low US$230, high US$500. Cross-check only.</t>
  </si>
  <si>
    <t xml:space="preserve">MY ESTIMATES: FISCAL 2027 BY QUARTER</t>
  </si>
  <si>
    <t xml:space="preserve">Q1 FY27 revenue</t>
  </si>
  <si>
    <t xml:space="preserve">MY ESTIMATE. Guide 2,200 to 2,400; data centre growth above 80% year on year expected (call, 12 Aug 2026).</t>
  </si>
  <si>
    <t xml:space="preserve">Q1 FY27 non-GAAP gross margin</t>
  </si>
  <si>
    <t xml:space="preserve">MY ESTIMATE. Guide Q1 39.5 to 41.5%; Coherent targets above 42%.</t>
  </si>
  <si>
    <t xml:space="preserve">Q1 FY27 non-GAAP operating expenses</t>
  </si>
  <si>
    <t xml:space="preserve">MY ESTIMATE. Q1 guide 400 to 420.</t>
  </si>
  <si>
    <t xml:space="preserve">Q2 FY27 revenue</t>
  </si>
  <si>
    <t xml:space="preserve">MY ESTIMATE. First co-packaged optics revenue expected in the December quarter.</t>
  </si>
  <si>
    <t xml:space="preserve">Q2 FY27 non-GAAP gross margin</t>
  </si>
  <si>
    <t xml:space="preserve">MY ESTIMATE. Rising half a point a quarter towards the 42% target.</t>
  </si>
  <si>
    <t xml:space="preserve">Q2 FY27 non-GAAP operating expenses</t>
  </si>
  <si>
    <t xml:space="preserve">MY ESTIMATE.</t>
  </si>
  <si>
    <t xml:space="preserve">Q3 FY27 revenue</t>
  </si>
  <si>
    <t xml:space="preserve">MY ESTIMATE. Coherent targets internal InP output doubled by the end of 2026.</t>
  </si>
  <si>
    <t xml:space="preserve">Q3 FY27 non-GAAP gross margin</t>
  </si>
  <si>
    <t xml:space="preserve">Q3 FY27 non-GAAP operating expenses</t>
  </si>
  <si>
    <t xml:space="preserve">Q4 FY27 revenue</t>
  </si>
  <si>
    <t xml:space="preserve">MY ESTIMATE. Coherent expects a quarter above US$3bn by the end of FY27 (call); I assume it slips just short.</t>
  </si>
  <si>
    <t xml:space="preserve">Q4 FY27 non-GAAP gross margin</t>
  </si>
  <si>
    <t xml:space="preserve">Q4 FY27 non-GAAP operating expenses</t>
  </si>
  <si>
    <t xml:space="preserve">Non-GAAP interest and other expense, FY27</t>
  </si>
  <si>
    <t xml:space="preserve">MY ESTIMATE. FY26 118.1; the Q1 guide implies about 30 a quarter.</t>
  </si>
  <si>
    <t xml:space="preserve">Non-GAAP tax rate</t>
  </si>
  <si>
    <t xml:space="preserve">Coherent's normalised non-GAAP rate for FY26; Q1 FY27 guide 18 to 20%.</t>
  </si>
  <si>
    <t xml:space="preserve">Diluted shares, FY27 average</t>
  </si>
  <si>
    <t xml:space="preserve">MY ESTIMATE. Q4 FY26 diluted 202.2m.</t>
  </si>
  <si>
    <t xml:space="preserve">MY ASSUMPTIONS: FISCAL 2028 (BASE)</t>
  </si>
  <si>
    <t xml:space="preserve">Revenue growth, FY28</t>
  </si>
  <si>
    <t xml:space="preserve">MY ASSUMPTION. Consensus implies 41% (14.69bn on 10.42bn); InP output to more than double again by end of calendar 2027.</t>
  </si>
  <si>
    <t xml:space="preserve">Non-GAAP gross margin, FY28</t>
  </si>
  <si>
    <t xml:space="preserve">MY ASSUMPTION. Coherent's target is above 42%.</t>
  </si>
  <si>
    <t xml:space="preserve">Non-GAAP operating expenses, % of revenue, FY28</t>
  </si>
  <si>
    <t xml:space="preserve">MY ASSUMPTION. FY26 19.0%; Q1 FY27 guide about 17.8% at the midpoints.</t>
  </si>
  <si>
    <t xml:space="preserve">Non-GAAP interest and other expense, FY28</t>
  </si>
  <si>
    <t xml:space="preserve">MY ASSUMPTION.</t>
  </si>
  <si>
    <t xml:space="preserve">Diluted shares, FY28 average</t>
  </si>
  <si>
    <t xml:space="preserve">Base multiple, P/E on FY28E non-GAAP EPS</t>
  </si>
  <si>
    <t xml:space="preserve">x</t>
  </si>
  <si>
    <t xml:space="preserve">MY ASSUMPTION. Coherent's own forward P/E averaged 24.3x at the ends of FY23 to FY25 (stockanalysis.com); peer median 30.4x; lower margins and the transceiver's CPO risk justify a discount.</t>
  </si>
  <si>
    <t xml:space="preserve">QUARTERS: FY25 AND FY26 ACTUAL, FY27 MY ESTIMATES (US$ MILLION)</t>
  </si>
  <si>
    <t xml:space="preserve">US$ million</t>
  </si>
  <si>
    <t xml:space="preserve">Q1 FY25</t>
  </si>
  <si>
    <t xml:space="preserve">Q2 FY25</t>
  </si>
  <si>
    <t xml:space="preserve">Q3 FY25</t>
  </si>
  <si>
    <t xml:space="preserve">Q4 FY25</t>
  </si>
  <si>
    <t xml:space="preserve">Q1 FY26</t>
  </si>
  <si>
    <t xml:space="preserve">Q2 FY26</t>
  </si>
  <si>
    <t xml:space="preserve">Q3 FY26</t>
  </si>
  <si>
    <t xml:space="preserve">Q4 FY26</t>
  </si>
  <si>
    <t xml:space="preserve">Q1 FY27E</t>
  </si>
  <si>
    <t xml:space="preserve">Q2 FY27E</t>
  </si>
  <si>
    <t xml:space="preserve">Q3 FY27E</t>
  </si>
  <si>
    <t xml:space="preserve">Q4 FY27E</t>
  </si>
  <si>
    <t xml:space="preserve">Revenue</t>
  </si>
  <si>
    <t xml:space="preserve">  Datacenter &amp; Communications</t>
  </si>
  <si>
    <t xml:space="preserve">  Industrial</t>
  </si>
  <si>
    <t xml:space="preserve">  D&amp;C share of revenue</t>
  </si>
  <si>
    <t xml:space="preserve">Non-GAAP gross margin</t>
  </si>
  <si>
    <t xml:space="preserve">Non-GAAP gross profit</t>
  </si>
  <si>
    <t xml:space="preserve">Non-GAAP operating expenses</t>
  </si>
  <si>
    <t xml:space="preserve">Non-GAAP operating income</t>
  </si>
  <si>
    <t xml:space="preserve">Non-GAAP operating margin</t>
  </si>
  <si>
    <t xml:space="preserve">Non-GAAP diluted EPS, US$</t>
  </si>
  <si>
    <t xml:space="preserve">GAAP gross margin</t>
  </si>
  <si>
    <t xml:space="preserve">Q1 FY27 EPS guide midpoint, US$</t>
  </si>
  <si>
    <t xml:space="preserve">Q1 FY27 revenue guide midpoint</t>
  </si>
  <si>
    <t xml:space="preserve">FY26 revenue growth, D&amp;C</t>
  </si>
  <si>
    <t xml:space="preserve">Sources: Coherent quarterly results releases, Form 8-K Ex. 99.1, 6 November 2024 to 12 August 2026. FY25 non-GAAP margins and EPS as recast in the FY26 releases.</t>
  </si>
  <si>
    <t xml:space="preserve">Operating expenses and gross profit for actual quarters are derived from the reported margins. Q1 FY27E EPS uses 203.5m diluted shares (my estimate).</t>
  </si>
  <si>
    <t xml:space="preserve">FY27 quarters are my estimates. Coherent does not split datacenter from communications revenue in its releases.</t>
  </si>
  <si>
    <t xml:space="preserve">ANNUAL: FY24A TO FY28E, NON-GAAP EPS BRIDGE (US$ MILLION UNLESS STATED)</t>
  </si>
  <si>
    <t xml:space="preserve">FY24A</t>
  </si>
  <si>
    <t xml:space="preserve">FY25A</t>
  </si>
  <si>
    <t xml:space="preserve">FY26A</t>
  </si>
  <si>
    <t xml:space="preserve">FY27E*</t>
  </si>
  <si>
    <t xml:space="preserve">FY28E*</t>
  </si>
  <si>
    <t xml:space="preserve">Growth</t>
  </si>
  <si>
    <t xml:space="preserve">Interest and other expense</t>
  </si>
  <si>
    <t xml:space="preserve">Pre-tax</t>
  </si>
  <si>
    <t xml:space="preserve">Tax</t>
  </si>
  <si>
    <t xml:space="preserve">Non-GAAP net income</t>
  </si>
  <si>
    <t xml:space="preserve">Diluted shares, m</t>
  </si>
  <si>
    <t xml:space="preserve">NON-GAAP EPS, US$</t>
  </si>
  <si>
    <t xml:space="preserve">Consensus EPS, US$</t>
  </si>
  <si>
    <t xml:space="preserve">Mine against consensus</t>
  </si>
  <si>
    <t xml:space="preserve">Consensus revenue</t>
  </si>
  <si>
    <t xml:space="preserve">Datacenter &amp; Communications share of revenue, FY26</t>
  </si>
  <si>
    <t xml:space="preserve">D&amp;C segment profit margin, FY25 / FY26</t>
  </si>
  <si>
    <t xml:space="preserve">*My estimates. FY27E sums the Quarters tab. FY24A to FY26A as reported; FY24 and FY25 non-GAAP as recast by Coherent.</t>
  </si>
  <si>
    <t xml:space="preserve">Non-GAAP excludes share-based pay (US$193.8m in FY26), amortisation of acquired intangibles, restructuring and other items, as Coherent defines it.</t>
  </si>
  <si>
    <t xml:space="preserve">VALUATION: P/E ON FY28E NON-GAAP EPS, TWELVE MONTHS OUT</t>
  </si>
  <si>
    <t xml:space="preserve">Working / note</t>
  </si>
  <si>
    <t xml:space="preserve">My estimate. By October 2027 the market prices the year to June 2028.</t>
  </si>
  <si>
    <t xml:space="preserve">Base multiple</t>
  </si>
  <si>
    <t xml:space="preserve">Below Coherent's 24.3x FY23 to FY25 average and the 30.4x peer median.</t>
  </si>
  <si>
    <t xml:space="preserve">BASE VALUE PER SHARE, US$</t>
  </si>
  <si>
    <t xml:space="preserve">Band: LONG at +15% or more, SHORT at -25% or worse, NO CALL between.</t>
  </si>
  <si>
    <t xml:space="preserve">VIEW ON THE BAND</t>
  </si>
  <si>
    <t xml:space="preserve">The band's answer; the call is Tommy Lau's.</t>
  </si>
  <si>
    <t xml:space="preserve">Target, US$ (base value rounded down)</t>
  </si>
  <si>
    <t xml:space="preserve">Judgement.</t>
  </si>
  <si>
    <t xml:space="preserve">Target against price</t>
  </si>
  <si>
    <t xml:space="preserve">Market value, US$bn</t>
  </si>
  <si>
    <t xml:space="preserve">Shares outstanding at 10 August 2026.</t>
  </si>
  <si>
    <t xml:space="preserve">Net debt, US$m, 30 June 2026</t>
  </si>
  <si>
    <t xml:space="preserve">Restricted cash excluded.</t>
  </si>
  <si>
    <t xml:space="preserve">Enterprise value, US$bn</t>
  </si>
  <si>
    <t xml:space="preserve">P/E on FY26 non-GAAP EPS</t>
  </si>
  <si>
    <t xml:space="preserve">P/E on FY27 consensus</t>
  </si>
  <si>
    <t xml:space="preserve">stockanalysis.com.</t>
  </si>
  <si>
    <t xml:space="preserve">P/E on FY28 consensus</t>
  </si>
  <si>
    <t xml:space="preserve">P/E on FY27E (mine)</t>
  </si>
  <si>
    <t xml:space="preserve">P/E on FY28E (mine)</t>
  </si>
  <si>
    <t xml:space="preserve">FY28 EPS the price needs at the base multiple, US$</t>
  </si>
  <si>
    <t xml:space="preserve">What the price assumes.</t>
  </si>
  <si>
    <t xml:space="preserve">That EPS against my FY27E</t>
  </si>
  <si>
    <t xml:space="preserve">Price below which the base value is 15% or more above it, US$</t>
  </si>
  <si>
    <t xml:space="preserve">Price above which the base value is 25% or more below it, US$</t>
  </si>
  <si>
    <t xml:space="preserve">Price against the highest close</t>
  </si>
  <si>
    <t xml:space="preserve">Close of US$426.89, 2 June 2026.</t>
  </si>
  <si>
    <t xml:space="preserve">Price change in 2026 to date</t>
  </si>
  <si>
    <t xml:space="preserve">Price against Nvidia's purchase price</t>
  </si>
  <si>
    <t xml:space="preserve">Average analyst target against price</t>
  </si>
  <si>
    <t xml:space="preserve">Cross-check only.</t>
  </si>
  <si>
    <t xml:space="preserve">THREE CASES, TWELVE MONTHS OUT (VALUE = MULTIPLE x FY28E NON-GAAP EPS)</t>
  </si>
  <si>
    <t xml:space="preserve">Case</t>
  </si>
  <si>
    <t xml:space="preserve">FY28 growth</t>
  </si>
  <si>
    <t xml:space="preserve">Gross margin</t>
  </si>
  <si>
    <t xml:space="preserve">Opex / revenue</t>
  </si>
  <si>
    <t xml:space="preserve">Multiple</t>
  </si>
  <si>
    <t xml:space="preserve">FY28 revenue</t>
  </si>
  <si>
    <t xml:space="preserve">Operating income</t>
  </si>
  <si>
    <t xml:space="preserve">FY28E EPS</t>
  </si>
  <si>
    <t xml:space="preserve">Value, US$</t>
  </si>
  <si>
    <t xml:space="preserve">vs price</t>
  </si>
  <si>
    <t xml:space="preserve">Bear</t>
  </si>
  <si>
    <t xml:space="preserve">Base</t>
  </si>
  <si>
    <t xml:space="preserve">Bull</t>
  </si>
  <si>
    <t xml:space="preserve">Probability</t>
  </si>
  <si>
    <t xml:space="preserve">must be 100%</t>
  </si>
  <si>
    <t xml:space="preserve">Check: base case equals the Valuation tab</t>
  </si>
  <si>
    <t xml:space="preserve">All cases start from my FY27E revenue of the Quarters tab and use the same interest, tax and share count.</t>
  </si>
  <si>
    <t xml:space="preserve">Bear: new InP capacity across the industry meets a customer inventory pause, as in FY24 when revenue fell 9%; flat revenue, gross margin 37.5%, opex 18%; 14x.</t>
  </si>
  <si>
    <t xml:space="preserve">Bull: the plug stays and 1.6T and 3.2T both ramp on time; growth 40%, close to consensus; gross margin 43.5%, opex 16%; 28x, still below the peer median.</t>
  </si>
  <si>
    <t xml:space="preserve">VALUE PER SHARE: FY28E NON-GAAP EPS AGAINST THE P/E (US$)</t>
  </si>
  <si>
    <t xml:space="preserve">FY28E EPS \ P/E</t>
  </si>
  <si>
    <t xml:space="preserve">Cells above the reference price</t>
  </si>
  <si>
    <t xml:space="preserve">of 9</t>
  </si>
  <si>
    <t xml:space="preserve">Cells 15% or more above the price</t>
  </si>
  <si>
    <t xml:space="preserve">The middle row links to the model's FY28E EPS and the middle column to the base multiple.</t>
  </si>
  <si>
    <t xml:space="preserve">CASH, INVENTORY AND COMMITMENTS: THE BET ON VOLUME</t>
  </si>
  <si>
    <t xml:space="preserve">FY24</t>
  </si>
  <si>
    <t xml:space="preserve">FY25</t>
  </si>
  <si>
    <t xml:space="preserve">FY26</t>
  </si>
  <si>
    <t xml:space="preserve">Operating cash flow</t>
  </si>
  <si>
    <t xml:space="preserve">Capital spending</t>
  </si>
  <si>
    <t xml:space="preserve">Free cash flow</t>
  </si>
  <si>
    <t xml:space="preserve">Inventory, 30 June</t>
  </si>
  <si>
    <t xml:space="preserve">Accounts payable, 30 June</t>
  </si>
  <si>
    <t xml:space="preserve">Inventory growth</t>
  </si>
  <si>
    <t xml:space="preserve">Purchase commitments due in FY27, US$bn</t>
  </si>
  <si>
    <t xml:space="preserve">Purchase commitments due after FY27, US$bn</t>
  </si>
  <si>
    <t xml:space="preserve">Sources: Q4 FY26 release and Form 10-K (cash flow statement, balance sheet, Note 13); FY24 from the FY26 10-K cash flow statement.</t>
  </si>
  <si>
    <t xml:space="preserve">PEER MULTIPLES (stockanalysis.com, 30 OCTOBER 2026 CLOSE)</t>
  </si>
  <si>
    <t xml:space="preserve">Company</t>
  </si>
  <si>
    <t xml:space="preserve">Ticker</t>
  </si>
  <si>
    <t xml:space="preserve">Forward P/E</t>
  </si>
  <si>
    <t xml:space="preserve">What they make</t>
  </si>
  <si>
    <t xml:space="preserve">Coherent</t>
  </si>
  <si>
    <t xml:space="preserve">NYSE: COHR</t>
  </si>
  <si>
    <t xml:space="preserve">Datacentre transceivers, InP and GaAs lasers, OCS; industrial lasers and materials</t>
  </si>
  <si>
    <t xml:space="preserve">Lumentum</t>
  </si>
  <si>
    <t xml:space="preserve">Nasdaq: LITE</t>
  </si>
  <si>
    <t xml:space="preserve">InP lasers (EMLs, CW), transceivers, optical circuit switches</t>
  </si>
  <si>
    <t xml:space="preserve">Marvell</t>
  </si>
  <si>
    <t xml:space="preserve">Nasdaq: MRVL</t>
  </si>
  <si>
    <t xml:space="preserve">Optical DSPs, custom chips, switch silicon</t>
  </si>
  <si>
    <t xml:space="preserve">Ciena</t>
  </si>
  <si>
    <t xml:space="preserve">NYSE: CIEN</t>
  </si>
  <si>
    <t xml:space="preserve">Long-haul and data centre interconnect optics</t>
  </si>
  <si>
    <t xml:space="preserve">Applied Optoelectronics</t>
  </si>
  <si>
    <t xml:space="preserve">Nasdaq: AAOI</t>
  </si>
  <si>
    <t xml:space="preserve">Datacentre transceivers and lasers</t>
  </si>
  <si>
    <t xml:space="preserve">Broadcom</t>
  </si>
  <si>
    <t xml:space="preserve">Nasdaq: AVGO</t>
  </si>
  <si>
    <t xml:space="preserve">Switch chips, optical DSPs, lasers, custom AI chips</t>
  </si>
  <si>
    <t xml:space="preserve">Fabrinet</t>
  </si>
  <si>
    <t xml:space="preserve">NYSE: FN</t>
  </si>
  <si>
    <t xml:space="preserve">Contract assembly of optical modules</t>
  </si>
  <si>
    <t xml:space="preserve">Peer median (excluding Coherent)</t>
  </si>
  <si>
    <t xml:space="preserve">Coherent forward P/E, FY23 to FY25 year ends, average</t>
  </si>
  <si>
    <t xml:space="preserve">Multiples only, to set the range of multiples. No view on the peers' shares is expressed. Coherent's history:</t>
  </si>
  <si>
    <t xml:space="preserve">25.1x, 26.5x, 21.3x at the ends of FY23 to FY25, and 53.0x at the end of FY26 (stockanalysis.com).</t>
  </si>
  <si>
    <t xml:space="preserve">SOURCES</t>
  </si>
  <si>
    <t xml:space="preserve">No.</t>
  </si>
  <si>
    <t xml:space="preserve">Source and what it supports</t>
  </si>
  <si>
    <t xml:space="preserve">Coherent Q4 FY26 results release, Form 8-K Ex. 99.1, 12 August 2026: income statement, non-GAAP reconciliation, balance sheet, cash flow, segment revenue, Q1 FY27 outlook.</t>
  </si>
  <si>
    <t xml:space="preserve">Coherent Q4 FY26 investor presentation, Form 8-K Ex. 99.2, 12 August 2026: quarterly segment revenue; InP output doubling by end of 2026 and more than doubling again by 2027; 6-inch InP lines making EMLs, CW lasers and photodiodes at higher yields than 3-inch; CPO/NPO revenue from the second half of 2026; 1.6T, 3.2T and 6.4T transceivers.</t>
  </si>
  <si>
    <t xml:space="preserve">Coherent Form 10-K for the year to 30 June 2026, filed 14 August 2026: shares outstanding, segment profit, customer concentration, purchase commitments, Sherman expansion, Nvidia agreement and share issue, BIS inquiry.</t>
  </si>
  <si>
    <t xml:space="preserve">Coherent quarterly results releases, Form 8-K Ex. 99.1, 6 November 2024, 5 February 2025, 7 May 2025, 13 August 2025, 5 November 2025, 4 February 2026 and 6 May 2026.</t>
  </si>
  <si>
    <t xml:space="preserve">Coherent Form 8-K of 2 March 2026 (Item 3.02 and Ex. 99.1): Nvidia's US$2bn investment at US$256.80 a share; multi-billion-dollar purchase commitment; five additional product families related to co-packaged optics.</t>
  </si>
  <si>
    <t xml:space="preserve">Coherent Form 8-K of 31 August 2026: special performance share awards with price hurdles of US$454.43 to US$757.77.</t>
  </si>
  <si>
    <t xml:space="preserve">Coherent release of 14 October 2026 (GlobeNewswire): Q1 FY27 results on 4 November 2026 after the NYSE close.</t>
  </si>
  <si>
    <t xml:space="preserve">Coherent Q4 FY26 call (12 August 2026), third-party transcript published by stockanalysis.com: InP lasers up about 80%, data centre growth above 80% expected in Q1 FY27, 1.6T ramp pulled in, gross margin target above 42%, US$3bn quarter by end FY27, LTA terms.</t>
  </si>
  <si>
    <t xml:space="preserve">Nasdaq.com COHR historical prices, retrieved 2 November 2026; Yahoo Finance chart API used as a cross-check.</t>
  </si>
  <si>
    <t xml:space="preserve">stockanalysis.com (S&amp;P Global Market Intelligence data), updated 30 October 2026: consensus revenue and EPS, average target, forward P/E for Coherent and peers.</t>
  </si>
  <si>
    <t xml:space="preserve">The Physical Layer, 'How ten thousand chips talk: the glass stays, and the plug survives its replacement': https://thephysicallayer.fyi/journal/ten-thousand-chips-one-thought/</t>
  </si>
  <si>
    <t xml:space="preserve">Estimates for FY27 and FY28 are the author's own. Personal research, not investment advice.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</si>
</sst>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&quot;US$&quot;#,##0.00"/>
    <numFmt numFmtId="166" formatCode="0.0%"/>
    <numFmt numFmtId="167" formatCode="#,##0.0"/>
    <numFmt numFmtId="168" formatCode="#,##0"/>
    <numFmt numFmtId="169" formatCode="0\x"/>
    <numFmt numFmtId="170" formatCode="0.0\x"/>
    <numFmt numFmtId="171" formatCode="#,##0.00"/>
    <numFmt numFmtId="172" formatCode="0%"/>
    <numFmt numFmtId="173" formatCode="0.000"/>
    <numFmt numFmtId="174" formatCode="&quot;US$&quot;#,##0"/>
    <numFmt numFmtId="175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00FF"/>
      <name val="Cambria"/>
      <family val="0"/>
      <charset val="1"/>
    </font>
    <font>
      <sz val="11"/>
      <color rgb="FF008000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2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10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s">
        <v>6</v>
      </c>
      <c r="C5" s="7" t="s">
        <v>7</v>
      </c>
    </row>
    <row r="6" customFormat="false" ht="15" hidden="false" customHeight="false" outlineLevel="0" collapsed="false">
      <c r="A6" s="5" t="s">
        <v>8</v>
      </c>
      <c r="B6" s="6" t="s">
        <v>9</v>
      </c>
      <c r="C6" s="7" t="s">
        <v>10</v>
      </c>
    </row>
    <row r="7" customFormat="false" ht="15" hidden="false" customHeight="false" outlineLevel="0" collapsed="false">
      <c r="A7" s="5" t="s">
        <v>11</v>
      </c>
      <c r="B7" s="8" t="n">
        <f aca="false">Valuation!B11</f>
        <v>275</v>
      </c>
      <c r="C7" s="7" t="s">
        <v>12</v>
      </c>
    </row>
    <row r="8" customFormat="false" ht="15" hidden="false" customHeight="false" outlineLevel="0" collapsed="false">
      <c r="A8" s="5" t="s">
        <v>13</v>
      </c>
      <c r="B8" s="8" t="n">
        <f aca="false">Valuation!B7</f>
        <v>275.596630434783</v>
      </c>
      <c r="C8" s="7" t="s">
        <v>14</v>
      </c>
    </row>
    <row r="9" customFormat="false" ht="15" hidden="false" customHeight="false" outlineLevel="0" collapsed="false">
      <c r="A9" s="5" t="s">
        <v>15</v>
      </c>
      <c r="B9" s="8" t="n">
        <f aca="false">Assumptions!$B$7</f>
        <v>210.32</v>
      </c>
      <c r="C9" s="7" t="s">
        <v>16</v>
      </c>
    </row>
    <row r="10" customFormat="false" ht="15" hidden="false" customHeight="false" outlineLevel="0" collapsed="false">
      <c r="A10" s="5" t="s">
        <v>17</v>
      </c>
      <c r="B10" s="9" t="n">
        <f aca="false">Valuation!B9</f>
        <v>0.310368155357468</v>
      </c>
      <c r="C10" s="7"/>
    </row>
    <row r="11" customFormat="false" ht="15" hidden="false" customHeight="false" outlineLevel="0" collapsed="false">
      <c r="A11" s="5" t="s">
        <v>18</v>
      </c>
      <c r="B11" s="8" t="n">
        <f aca="false">Scenarios!E11</f>
        <v>270.581771739131</v>
      </c>
      <c r="C11" s="7" t="s">
        <v>19</v>
      </c>
    </row>
    <row r="12" customFormat="false" ht="15" hidden="false" customHeight="false" outlineLevel="0" collapsed="false">
      <c r="A12" s="5" t="s">
        <v>20</v>
      </c>
      <c r="B12" s="8" t="n">
        <f aca="false">Annual!F15</f>
        <v>12.5271195652174</v>
      </c>
      <c r="C12" s="7" t="s">
        <v>21</v>
      </c>
    </row>
    <row r="13" customFormat="false" ht="15" hidden="false" customHeight="false" outlineLevel="0" collapsed="false">
      <c r="A13" s="5" t="s">
        <v>22</v>
      </c>
      <c r="B13" s="6" t="s">
        <v>23</v>
      </c>
      <c r="C13" s="7"/>
    </row>
    <row r="14" customFormat="false" ht="57.75" hidden="false" customHeight="true" outlineLevel="0" collapsed="false">
      <c r="A14" s="5" t="s">
        <v>24</v>
      </c>
      <c r="B14" s="6" t="s">
        <v>25</v>
      </c>
      <c r="C14" s="7" t="s">
        <v>26</v>
      </c>
    </row>
    <row r="17" customFormat="false" ht="15" hidden="false" customHeight="false" outlineLevel="0" collapsed="false">
      <c r="A17" s="10" t="s">
        <v>27</v>
      </c>
    </row>
    <row r="18" customFormat="false" ht="15" hidden="false" customHeight="false" outlineLevel="0" collapsed="false">
      <c r="A18" s="0" t="s">
        <v>28</v>
      </c>
      <c r="B18" s="0" t="s">
        <v>29</v>
      </c>
    </row>
    <row r="19" customFormat="false" ht="15" hidden="false" customHeight="false" outlineLevel="0" collapsed="false">
      <c r="A19" s="0" t="s">
        <v>30</v>
      </c>
      <c r="B19" s="0" t="s">
        <v>31</v>
      </c>
    </row>
    <row r="20" customFormat="false" ht="15" hidden="false" customHeight="false" outlineLevel="0" collapsed="false">
      <c r="A20" s="0" t="s">
        <v>32</v>
      </c>
      <c r="B20" s="0" t="s">
        <v>33</v>
      </c>
    </row>
    <row r="21" customFormat="false" ht="15" hidden="false" customHeight="false" outlineLevel="0" collapsed="false">
      <c r="A21" s="0" t="s">
        <v>34</v>
      </c>
      <c r="B21" s="0" t="s">
        <v>35</v>
      </c>
    </row>
    <row r="22" customFormat="false" ht="15" hidden="false" customHeight="false" outlineLevel="0" collapsed="false">
      <c r="A22" s="0" t="s">
        <v>36</v>
      </c>
      <c r="B22" s="0" t="s">
        <v>37</v>
      </c>
    </row>
    <row r="23" customFormat="false" ht="15" hidden="false" customHeight="false" outlineLevel="0" collapsed="false">
      <c r="A23" s="0" t="s">
        <v>38</v>
      </c>
      <c r="B23" s="0" t="s">
        <v>39</v>
      </c>
    </row>
    <row r="24" customFormat="false" ht="15" hidden="false" customHeight="false" outlineLevel="0" collapsed="false">
      <c r="A24" s="0" t="s">
        <v>40</v>
      </c>
      <c r="B24" s="0" t="s">
        <v>41</v>
      </c>
    </row>
    <row r="25" customFormat="false" ht="15" hidden="false" customHeight="false" outlineLevel="0" collapsed="false">
      <c r="A25" s="0" t="s">
        <v>42</v>
      </c>
      <c r="B25" s="0" t="s">
        <v>43</v>
      </c>
    </row>
    <row r="26" customFormat="false" ht="15" hidden="false" customHeight="false" outlineLevel="0" collapsed="false">
      <c r="A26" s="0" t="s">
        <v>44</v>
      </c>
      <c r="B26" s="0" t="s">
        <v>45</v>
      </c>
    </row>
    <row r="28" customFormat="false" ht="15" hidden="false" customHeight="false" outlineLevel="0" collapsed="false">
      <c r="A28" s="11" t="s">
        <v>46</v>
      </c>
    </row>
    <row r="29" customFormat="false" ht="15" hidden="false" customHeight="false" outlineLevel="0" collapsed="false">
      <c r="A29" s="11" t="s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110"/>
  </cols>
  <sheetData>
    <row r="1" customFormat="false" ht="15" hidden="false" customHeight="false" outlineLevel="0" collapsed="false">
      <c r="A1" s="1" t="s">
        <v>48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11" t="s">
        <v>49</v>
      </c>
    </row>
    <row r="5" customFormat="false" ht="15" hidden="false" customHeight="false" outlineLevel="0" collapsed="false">
      <c r="A5" s="3" t="s">
        <v>50</v>
      </c>
      <c r="B5" s="4" t="s">
        <v>3</v>
      </c>
      <c r="C5" s="4" t="s">
        <v>51</v>
      </c>
      <c r="D5" s="4" t="s">
        <v>52</v>
      </c>
    </row>
    <row r="6" customFormat="false" ht="15" hidden="false" customHeight="false" outlineLevel="0" collapsed="false">
      <c r="A6" s="10" t="s">
        <v>53</v>
      </c>
    </row>
    <row r="7" customFormat="false" ht="15" hidden="false" customHeight="false" outlineLevel="0" collapsed="false">
      <c r="A7" s="0" t="s">
        <v>54</v>
      </c>
      <c r="B7" s="12" t="n">
        <v>210.32</v>
      </c>
      <c r="C7" s="0" t="s">
        <v>55</v>
      </c>
      <c r="D7" s="7" t="s">
        <v>56</v>
      </c>
    </row>
    <row r="8" customFormat="false" ht="15" hidden="false" customHeight="false" outlineLevel="0" collapsed="false">
      <c r="A8" s="0" t="s">
        <v>57</v>
      </c>
      <c r="B8" s="12" t="n">
        <v>426.89</v>
      </c>
      <c r="C8" s="0" t="s">
        <v>55</v>
      </c>
      <c r="D8" s="7" t="s">
        <v>58</v>
      </c>
    </row>
    <row r="9" customFormat="false" ht="15" hidden="false" customHeight="false" outlineLevel="0" collapsed="false">
      <c r="A9" s="0" t="s">
        <v>59</v>
      </c>
      <c r="B9" s="12" t="n">
        <v>184.57</v>
      </c>
      <c r="C9" s="0" t="s">
        <v>55</v>
      </c>
      <c r="D9" s="7" t="s">
        <v>60</v>
      </c>
    </row>
    <row r="10" customFormat="false" ht="15" hidden="false" customHeight="false" outlineLevel="0" collapsed="false">
      <c r="A10" s="0" t="s">
        <v>61</v>
      </c>
      <c r="B10" s="12" t="n">
        <v>256.8</v>
      </c>
      <c r="C10" s="0" t="s">
        <v>55</v>
      </c>
      <c r="D10" s="7" t="s">
        <v>62</v>
      </c>
    </row>
    <row r="11" customFormat="false" ht="15" hidden="false" customHeight="false" outlineLevel="0" collapsed="false">
      <c r="A11" s="0" t="s">
        <v>63</v>
      </c>
      <c r="B11" s="13" t="n">
        <v>195.832246</v>
      </c>
      <c r="C11" s="0" t="s">
        <v>64</v>
      </c>
      <c r="D11" s="7" t="s">
        <v>65</v>
      </c>
    </row>
    <row r="12" customFormat="false" ht="23.85" hidden="false" customHeight="false" outlineLevel="0" collapsed="false">
      <c r="A12" s="0" t="s">
        <v>66</v>
      </c>
      <c r="B12" s="14" t="n">
        <v>1987</v>
      </c>
      <c r="C12" s="0" t="s">
        <v>67</v>
      </c>
      <c r="D12" s="7" t="s">
        <v>68</v>
      </c>
    </row>
    <row r="13" customFormat="false" ht="15" hidden="false" customHeight="false" outlineLevel="0" collapsed="false">
      <c r="A13" s="0" t="s">
        <v>69</v>
      </c>
      <c r="B13" s="14" t="n">
        <v>3222.2</v>
      </c>
      <c r="C13" s="0" t="s">
        <v>67</v>
      </c>
      <c r="D13" s="7" t="s">
        <v>70</v>
      </c>
    </row>
    <row r="14" customFormat="false" ht="15" hidden="false" customHeight="false" outlineLevel="0" collapsed="false">
      <c r="A14" s="0" t="s">
        <v>71</v>
      </c>
      <c r="B14" s="14" t="n">
        <v>334.7</v>
      </c>
      <c r="C14" s="0" t="s">
        <v>67</v>
      </c>
      <c r="D14" s="7" t="s">
        <v>72</v>
      </c>
    </row>
    <row r="15" customFormat="false" ht="15" hidden="false" customHeight="false" outlineLevel="0" collapsed="false">
      <c r="A15" s="10" t="s">
        <v>73</v>
      </c>
    </row>
    <row r="16" customFormat="false" ht="15" hidden="false" customHeight="false" outlineLevel="0" collapsed="false">
      <c r="A16" s="0" t="s">
        <v>74</v>
      </c>
      <c r="B16" s="14" t="n">
        <v>4707.7</v>
      </c>
      <c r="C16" s="0" t="s">
        <v>67</v>
      </c>
      <c r="D16" s="7" t="s">
        <v>75</v>
      </c>
    </row>
    <row r="17" customFormat="false" ht="15" hidden="false" customHeight="false" outlineLevel="0" collapsed="false">
      <c r="A17" s="0" t="s">
        <v>76</v>
      </c>
      <c r="B17" s="14" t="n">
        <v>5810.1</v>
      </c>
      <c r="C17" s="0" t="s">
        <v>67</v>
      </c>
      <c r="D17" s="7" t="s">
        <v>72</v>
      </c>
    </row>
    <row r="18" customFormat="false" ht="15" hidden="false" customHeight="false" outlineLevel="0" collapsed="false">
      <c r="A18" s="0" t="s">
        <v>77</v>
      </c>
      <c r="B18" s="14" t="n">
        <v>7118.2</v>
      </c>
      <c r="C18" s="0" t="s">
        <v>67</v>
      </c>
      <c r="D18" s="7" t="s">
        <v>72</v>
      </c>
    </row>
    <row r="19" customFormat="false" ht="15" hidden="false" customHeight="false" outlineLevel="0" collapsed="false">
      <c r="A19" s="0" t="s">
        <v>78</v>
      </c>
      <c r="B19" s="14" t="n">
        <v>3755.2</v>
      </c>
      <c r="C19" s="0" t="s">
        <v>67</v>
      </c>
      <c r="D19" s="7" t="s">
        <v>79</v>
      </c>
    </row>
    <row r="20" customFormat="false" ht="15" hidden="false" customHeight="false" outlineLevel="0" collapsed="false">
      <c r="A20" s="0" t="s">
        <v>80</v>
      </c>
      <c r="B20" s="14" t="n">
        <v>5274.6</v>
      </c>
      <c r="C20" s="0" t="s">
        <v>67</v>
      </c>
      <c r="D20" s="7" t="s">
        <v>79</v>
      </c>
    </row>
    <row r="21" customFormat="false" ht="15" hidden="false" customHeight="false" outlineLevel="0" collapsed="false">
      <c r="A21" s="0" t="s">
        <v>81</v>
      </c>
      <c r="B21" s="14" t="n">
        <v>904</v>
      </c>
      <c r="C21" s="0" t="s">
        <v>67</v>
      </c>
      <c r="D21" s="7" t="s">
        <v>82</v>
      </c>
    </row>
    <row r="22" customFormat="false" ht="15" hidden="false" customHeight="false" outlineLevel="0" collapsed="false">
      <c r="A22" s="0" t="s">
        <v>83</v>
      </c>
      <c r="B22" s="14" t="n">
        <v>1330</v>
      </c>
      <c r="C22" s="0" t="s">
        <v>67</v>
      </c>
      <c r="D22" s="7" t="s">
        <v>82</v>
      </c>
    </row>
    <row r="23" customFormat="false" ht="15" hidden="false" customHeight="false" outlineLevel="0" collapsed="false">
      <c r="A23" s="0" t="s">
        <v>84</v>
      </c>
      <c r="B23" s="12" t="n">
        <v>1.21</v>
      </c>
      <c r="C23" s="0" t="s">
        <v>55</v>
      </c>
      <c r="D23" s="7" t="s">
        <v>85</v>
      </c>
    </row>
    <row r="24" customFormat="false" ht="15" hidden="false" customHeight="false" outlineLevel="0" collapsed="false">
      <c r="A24" s="0" t="s">
        <v>86</v>
      </c>
      <c r="B24" s="12" t="n">
        <v>3.53</v>
      </c>
      <c r="C24" s="0" t="s">
        <v>55</v>
      </c>
      <c r="D24" s="7" t="s">
        <v>72</v>
      </c>
    </row>
    <row r="25" customFormat="false" ht="15" hidden="false" customHeight="false" outlineLevel="0" collapsed="false">
      <c r="A25" s="0" t="s">
        <v>87</v>
      </c>
      <c r="B25" s="12" t="n">
        <v>5.61</v>
      </c>
      <c r="C25" s="0" t="s">
        <v>55</v>
      </c>
      <c r="D25" s="7" t="s">
        <v>72</v>
      </c>
    </row>
    <row r="26" customFormat="false" ht="15" hidden="false" customHeight="false" outlineLevel="0" collapsed="false">
      <c r="A26" s="0" t="s">
        <v>88</v>
      </c>
      <c r="B26" s="15" t="n">
        <v>0.379</v>
      </c>
      <c r="C26" s="0" t="s">
        <v>89</v>
      </c>
      <c r="D26" s="7" t="s">
        <v>72</v>
      </c>
    </row>
    <row r="27" customFormat="false" ht="15" hidden="false" customHeight="false" outlineLevel="0" collapsed="false">
      <c r="A27" s="0" t="s">
        <v>90</v>
      </c>
      <c r="B27" s="15" t="n">
        <v>0.394</v>
      </c>
      <c r="C27" s="0" t="s">
        <v>89</v>
      </c>
      <c r="D27" s="7" t="s">
        <v>72</v>
      </c>
    </row>
    <row r="28" customFormat="false" ht="15" hidden="false" customHeight="false" outlineLevel="0" collapsed="false">
      <c r="A28" s="0" t="s">
        <v>91</v>
      </c>
      <c r="B28" s="15" t="n">
        <v>0.178</v>
      </c>
      <c r="C28" s="0" t="s">
        <v>89</v>
      </c>
      <c r="D28" s="7" t="s">
        <v>72</v>
      </c>
    </row>
    <row r="29" customFormat="false" ht="15" hidden="false" customHeight="false" outlineLevel="0" collapsed="false">
      <c r="A29" s="0" t="s">
        <v>92</v>
      </c>
      <c r="B29" s="15" t="n">
        <v>0.205</v>
      </c>
      <c r="C29" s="0" t="s">
        <v>89</v>
      </c>
      <c r="D29" s="7" t="s">
        <v>72</v>
      </c>
    </row>
    <row r="30" customFormat="false" ht="15" hidden="false" customHeight="false" outlineLevel="0" collapsed="false">
      <c r="A30" s="10" t="s">
        <v>93</v>
      </c>
    </row>
    <row r="31" customFormat="false" ht="15" hidden="false" customHeight="false" outlineLevel="0" collapsed="false">
      <c r="A31" s="0" t="s">
        <v>94</v>
      </c>
      <c r="B31" s="14" t="n">
        <v>2200</v>
      </c>
      <c r="C31" s="0" t="s">
        <v>67</v>
      </c>
      <c r="D31" s="7" t="s">
        <v>95</v>
      </c>
    </row>
    <row r="32" customFormat="false" ht="15" hidden="false" customHeight="false" outlineLevel="0" collapsed="false">
      <c r="A32" s="0" t="s">
        <v>96</v>
      </c>
      <c r="B32" s="14" t="n">
        <v>2400</v>
      </c>
      <c r="C32" s="0" t="s">
        <v>67</v>
      </c>
      <c r="D32" s="7" t="s">
        <v>72</v>
      </c>
    </row>
    <row r="33" customFormat="false" ht="15" hidden="false" customHeight="false" outlineLevel="0" collapsed="false">
      <c r="A33" s="0" t="s">
        <v>97</v>
      </c>
      <c r="B33" s="12" t="n">
        <v>1.85</v>
      </c>
      <c r="C33" s="0" t="s">
        <v>55</v>
      </c>
      <c r="D33" s="7" t="s">
        <v>72</v>
      </c>
    </row>
    <row r="34" customFormat="false" ht="15" hidden="false" customHeight="false" outlineLevel="0" collapsed="false">
      <c r="A34" s="0" t="s">
        <v>98</v>
      </c>
      <c r="B34" s="12" t="n">
        <v>2.05</v>
      </c>
      <c r="C34" s="0" t="s">
        <v>55</v>
      </c>
      <c r="D34" s="7" t="s">
        <v>72</v>
      </c>
    </row>
    <row r="35" customFormat="false" ht="15" hidden="false" customHeight="false" outlineLevel="0" collapsed="false">
      <c r="A35" s="0" t="s">
        <v>99</v>
      </c>
      <c r="B35" s="12" t="n">
        <v>9.4</v>
      </c>
      <c r="C35" s="0" t="s">
        <v>55</v>
      </c>
      <c r="D35" s="7" t="s">
        <v>100</v>
      </c>
    </row>
    <row r="36" customFormat="false" ht="15" hidden="false" customHeight="false" outlineLevel="0" collapsed="false">
      <c r="A36" s="0" t="s">
        <v>101</v>
      </c>
      <c r="B36" s="12" t="n">
        <v>13.91</v>
      </c>
      <c r="C36" s="0" t="s">
        <v>55</v>
      </c>
      <c r="D36" s="7" t="s">
        <v>102</v>
      </c>
    </row>
    <row r="37" customFormat="false" ht="15" hidden="false" customHeight="false" outlineLevel="0" collapsed="false">
      <c r="A37" s="0" t="s">
        <v>103</v>
      </c>
      <c r="B37" s="14" t="n">
        <v>10630</v>
      </c>
      <c r="C37" s="0" t="s">
        <v>67</v>
      </c>
      <c r="D37" s="7" t="s">
        <v>104</v>
      </c>
    </row>
    <row r="38" customFormat="false" ht="15" hidden="false" customHeight="false" outlineLevel="0" collapsed="false">
      <c r="A38" s="0" t="s">
        <v>105</v>
      </c>
      <c r="B38" s="14" t="n">
        <v>14690</v>
      </c>
      <c r="C38" s="0" t="s">
        <v>67</v>
      </c>
      <c r="D38" s="7" t="s">
        <v>104</v>
      </c>
    </row>
    <row r="39" customFormat="false" ht="15" hidden="false" customHeight="false" outlineLevel="0" collapsed="false">
      <c r="A39" s="0" t="s">
        <v>106</v>
      </c>
      <c r="B39" s="12" t="n">
        <v>391</v>
      </c>
      <c r="C39" s="0" t="s">
        <v>55</v>
      </c>
      <c r="D39" s="7" t="s">
        <v>107</v>
      </c>
    </row>
    <row r="40" customFormat="false" ht="15" hidden="false" customHeight="false" outlineLevel="0" collapsed="false">
      <c r="A40" s="10" t="s">
        <v>108</v>
      </c>
    </row>
    <row r="41" customFormat="false" ht="15" hidden="false" customHeight="false" outlineLevel="0" collapsed="false">
      <c r="A41" s="0" t="s">
        <v>109</v>
      </c>
      <c r="B41" s="16" t="n">
        <v>2320</v>
      </c>
      <c r="C41" s="0" t="s">
        <v>67</v>
      </c>
      <c r="D41" s="7" t="s">
        <v>110</v>
      </c>
    </row>
    <row r="42" customFormat="false" ht="15" hidden="false" customHeight="false" outlineLevel="0" collapsed="false">
      <c r="A42" s="0" t="s">
        <v>111</v>
      </c>
      <c r="B42" s="17" t="n">
        <v>0.405</v>
      </c>
      <c r="C42" s="0" t="s">
        <v>89</v>
      </c>
      <c r="D42" s="7" t="s">
        <v>112</v>
      </c>
    </row>
    <row r="43" customFormat="false" ht="15" hidden="false" customHeight="false" outlineLevel="0" collapsed="false">
      <c r="A43" s="0" t="s">
        <v>113</v>
      </c>
      <c r="B43" s="16" t="n">
        <v>410</v>
      </c>
      <c r="C43" s="0" t="s">
        <v>67</v>
      </c>
      <c r="D43" s="7" t="s">
        <v>114</v>
      </c>
    </row>
    <row r="44" customFormat="false" ht="15" hidden="false" customHeight="false" outlineLevel="0" collapsed="false">
      <c r="A44" s="0" t="s">
        <v>115</v>
      </c>
      <c r="B44" s="16" t="n">
        <v>2500</v>
      </c>
      <c r="C44" s="0" t="s">
        <v>67</v>
      </c>
      <c r="D44" s="7" t="s">
        <v>116</v>
      </c>
    </row>
    <row r="45" customFormat="false" ht="15" hidden="false" customHeight="false" outlineLevel="0" collapsed="false">
      <c r="A45" s="0" t="s">
        <v>117</v>
      </c>
      <c r="B45" s="17" t="n">
        <v>0.41</v>
      </c>
      <c r="C45" s="0" t="s">
        <v>89</v>
      </c>
      <c r="D45" s="7" t="s">
        <v>118</v>
      </c>
    </row>
    <row r="46" customFormat="false" ht="15" hidden="false" customHeight="false" outlineLevel="0" collapsed="false">
      <c r="A46" s="0" t="s">
        <v>119</v>
      </c>
      <c r="B46" s="16" t="n">
        <v>430</v>
      </c>
      <c r="C46" s="0" t="s">
        <v>67</v>
      </c>
      <c r="D46" s="7" t="s">
        <v>120</v>
      </c>
    </row>
    <row r="47" customFormat="false" ht="15" hidden="false" customHeight="false" outlineLevel="0" collapsed="false">
      <c r="A47" s="0" t="s">
        <v>121</v>
      </c>
      <c r="B47" s="16" t="n">
        <v>2700</v>
      </c>
      <c r="C47" s="0" t="s">
        <v>67</v>
      </c>
      <c r="D47" s="7" t="s">
        <v>122</v>
      </c>
    </row>
    <row r="48" customFormat="false" ht="15" hidden="false" customHeight="false" outlineLevel="0" collapsed="false">
      <c r="A48" s="0" t="s">
        <v>123</v>
      </c>
      <c r="B48" s="17" t="n">
        <v>0.415</v>
      </c>
      <c r="C48" s="0" t="s">
        <v>89</v>
      </c>
      <c r="D48" s="7" t="s">
        <v>118</v>
      </c>
    </row>
    <row r="49" customFormat="false" ht="15" hidden="false" customHeight="false" outlineLevel="0" collapsed="false">
      <c r="A49" s="0" t="s">
        <v>124</v>
      </c>
      <c r="B49" s="16" t="n">
        <v>455</v>
      </c>
      <c r="C49" s="0" t="s">
        <v>67</v>
      </c>
      <c r="D49" s="7" t="s">
        <v>120</v>
      </c>
    </row>
    <row r="50" customFormat="false" ht="15" hidden="false" customHeight="false" outlineLevel="0" collapsed="false">
      <c r="A50" s="0" t="s">
        <v>125</v>
      </c>
      <c r="B50" s="16" t="n">
        <v>2900</v>
      </c>
      <c r="C50" s="0" t="s">
        <v>67</v>
      </c>
      <c r="D50" s="7" t="s">
        <v>126</v>
      </c>
    </row>
    <row r="51" customFormat="false" ht="15" hidden="false" customHeight="false" outlineLevel="0" collapsed="false">
      <c r="A51" s="0" t="s">
        <v>127</v>
      </c>
      <c r="B51" s="17" t="n">
        <v>0.42</v>
      </c>
      <c r="C51" s="0" t="s">
        <v>89</v>
      </c>
      <c r="D51" s="7" t="s">
        <v>118</v>
      </c>
    </row>
    <row r="52" customFormat="false" ht="15" hidden="false" customHeight="false" outlineLevel="0" collapsed="false">
      <c r="A52" s="0" t="s">
        <v>128</v>
      </c>
      <c r="B52" s="16" t="n">
        <v>480</v>
      </c>
      <c r="C52" s="0" t="s">
        <v>67</v>
      </c>
      <c r="D52" s="7" t="s">
        <v>120</v>
      </c>
    </row>
    <row r="53" customFormat="false" ht="15" hidden="false" customHeight="false" outlineLevel="0" collapsed="false">
      <c r="A53" s="0" t="s">
        <v>129</v>
      </c>
      <c r="B53" s="16" t="n">
        <v>120</v>
      </c>
      <c r="C53" s="0" t="s">
        <v>67</v>
      </c>
      <c r="D53" s="7" t="s">
        <v>130</v>
      </c>
    </row>
    <row r="54" customFormat="false" ht="15" hidden="false" customHeight="false" outlineLevel="0" collapsed="false">
      <c r="A54" s="0" t="s">
        <v>131</v>
      </c>
      <c r="B54" s="15" t="n">
        <v>0.19</v>
      </c>
      <c r="C54" s="0" t="s">
        <v>89</v>
      </c>
      <c r="D54" s="7" t="s">
        <v>132</v>
      </c>
    </row>
    <row r="55" customFormat="false" ht="15" hidden="false" customHeight="false" outlineLevel="0" collapsed="false">
      <c r="A55" s="0" t="s">
        <v>133</v>
      </c>
      <c r="B55" s="18" t="n">
        <v>204</v>
      </c>
      <c r="C55" s="0" t="s">
        <v>64</v>
      </c>
      <c r="D55" s="7" t="s">
        <v>134</v>
      </c>
    </row>
    <row r="56" customFormat="false" ht="15" hidden="false" customHeight="false" outlineLevel="0" collapsed="false">
      <c r="A56" s="10" t="s">
        <v>135</v>
      </c>
    </row>
    <row r="57" customFormat="false" ht="15" hidden="false" customHeight="false" outlineLevel="0" collapsed="false">
      <c r="A57" s="0" t="s">
        <v>136</v>
      </c>
      <c r="B57" s="17" t="n">
        <v>0.25</v>
      </c>
      <c r="C57" s="0" t="s">
        <v>89</v>
      </c>
      <c r="D57" s="7" t="s">
        <v>137</v>
      </c>
    </row>
    <row r="58" customFormat="false" ht="15" hidden="false" customHeight="false" outlineLevel="0" collapsed="false">
      <c r="A58" s="0" t="s">
        <v>138</v>
      </c>
      <c r="B58" s="17" t="n">
        <v>0.42</v>
      </c>
      <c r="C58" s="0" t="s">
        <v>89</v>
      </c>
      <c r="D58" s="7" t="s">
        <v>139</v>
      </c>
    </row>
    <row r="59" customFormat="false" ht="15" hidden="false" customHeight="false" outlineLevel="0" collapsed="false">
      <c r="A59" s="0" t="s">
        <v>140</v>
      </c>
      <c r="B59" s="17" t="n">
        <v>0.165</v>
      </c>
      <c r="C59" s="0" t="s">
        <v>89</v>
      </c>
      <c r="D59" s="7" t="s">
        <v>141</v>
      </c>
    </row>
    <row r="60" customFormat="false" ht="15" hidden="false" customHeight="false" outlineLevel="0" collapsed="false">
      <c r="A60" s="0" t="s">
        <v>142</v>
      </c>
      <c r="B60" s="16" t="n">
        <v>120</v>
      </c>
      <c r="C60" s="0" t="s">
        <v>67</v>
      </c>
      <c r="D60" s="7" t="s">
        <v>143</v>
      </c>
    </row>
    <row r="61" customFormat="false" ht="15" hidden="false" customHeight="false" outlineLevel="0" collapsed="false">
      <c r="A61" s="0" t="s">
        <v>144</v>
      </c>
      <c r="B61" s="18" t="n">
        <v>207</v>
      </c>
      <c r="C61" s="0" t="s">
        <v>64</v>
      </c>
      <c r="D61" s="7" t="s">
        <v>143</v>
      </c>
    </row>
    <row r="62" customFormat="false" ht="23.85" hidden="false" customHeight="false" outlineLevel="0" collapsed="false">
      <c r="A62" s="0" t="s">
        <v>145</v>
      </c>
      <c r="B62" s="19" t="n">
        <v>22</v>
      </c>
      <c r="C62" s="0" t="s">
        <v>146</v>
      </c>
      <c r="D62" s="7" t="s">
        <v>147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13" min="2" style="0" width="11"/>
  </cols>
  <sheetData>
    <row r="1" customFormat="false" ht="15" hidden="false" customHeight="false" outlineLevel="0" collapsed="false">
      <c r="A1" s="1" t="s">
        <v>148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155</v>
      </c>
      <c r="H4" s="4" t="s">
        <v>156</v>
      </c>
      <c r="I4" s="4" t="s">
        <v>157</v>
      </c>
      <c r="J4" s="4" t="s">
        <v>158</v>
      </c>
      <c r="K4" s="4" t="s">
        <v>159</v>
      </c>
      <c r="L4" s="4" t="s">
        <v>160</v>
      </c>
      <c r="M4" s="4" t="s">
        <v>161</v>
      </c>
    </row>
    <row r="5" customFormat="false" ht="15" hidden="false" customHeight="false" outlineLevel="0" collapsed="false">
      <c r="A5" s="5" t="s">
        <v>162</v>
      </c>
      <c r="B5" s="20" t="n">
        <v>1348.1</v>
      </c>
      <c r="C5" s="20" t="n">
        <v>1434.7</v>
      </c>
      <c r="D5" s="20" t="n">
        <v>1497.9</v>
      </c>
      <c r="E5" s="20" t="n">
        <v>1529.4</v>
      </c>
      <c r="F5" s="20" t="n">
        <v>1581.4</v>
      </c>
      <c r="G5" s="20" t="n">
        <v>1685.6</v>
      </c>
      <c r="H5" s="20" t="n">
        <v>1805.6</v>
      </c>
      <c r="I5" s="20" t="n">
        <v>2045.5</v>
      </c>
      <c r="J5" s="21" t="n">
        <f aca="false">Assumptions!$B$41</f>
        <v>2320</v>
      </c>
      <c r="K5" s="21" t="n">
        <f aca="false">Assumptions!$B$44</f>
        <v>2500</v>
      </c>
      <c r="L5" s="21" t="n">
        <f aca="false">Assumptions!$B$47</f>
        <v>2700</v>
      </c>
      <c r="M5" s="21" t="n">
        <f aca="false">Assumptions!$B$50</f>
        <v>2900</v>
      </c>
    </row>
    <row r="6" customFormat="false" ht="15" hidden="false" customHeight="false" outlineLevel="0" collapsed="false">
      <c r="A6" s="22" t="s">
        <v>163</v>
      </c>
      <c r="B6" s="20" t="n">
        <v>863.6</v>
      </c>
      <c r="C6" s="20" t="n">
        <v>904.6</v>
      </c>
      <c r="D6" s="20" t="n">
        <v>968.7</v>
      </c>
      <c r="E6" s="20" t="n">
        <v>1018.3</v>
      </c>
      <c r="F6" s="20" t="n">
        <v>1090</v>
      </c>
      <c r="G6" s="20" t="n">
        <v>1208</v>
      </c>
      <c r="H6" s="20" t="n">
        <v>1361.6</v>
      </c>
      <c r="I6" s="20" t="n">
        <v>1615</v>
      </c>
    </row>
    <row r="7" customFormat="false" ht="15" hidden="false" customHeight="false" outlineLevel="0" collapsed="false">
      <c r="A7" s="22" t="s">
        <v>164</v>
      </c>
      <c r="B7" s="23" t="n">
        <f aca="false">B5-B6</f>
        <v>484.5</v>
      </c>
      <c r="C7" s="23" t="n">
        <f aca="false">C5-C6</f>
        <v>530.1</v>
      </c>
      <c r="D7" s="23" t="n">
        <f aca="false">D5-D6</f>
        <v>529.2</v>
      </c>
      <c r="E7" s="23" t="n">
        <f aca="false">E5-E6</f>
        <v>511.1</v>
      </c>
      <c r="F7" s="23" t="n">
        <f aca="false">F5-F6</f>
        <v>491.4</v>
      </c>
      <c r="G7" s="23" t="n">
        <f aca="false">G5-G6</f>
        <v>477.6</v>
      </c>
      <c r="H7" s="23" t="n">
        <f aca="false">H5-H6</f>
        <v>444</v>
      </c>
      <c r="I7" s="23" t="n">
        <f aca="false">I5-I6</f>
        <v>430.5</v>
      </c>
    </row>
    <row r="8" customFormat="false" ht="15" hidden="false" customHeight="false" outlineLevel="0" collapsed="false">
      <c r="A8" s="22" t="s">
        <v>165</v>
      </c>
      <c r="B8" s="24" t="n">
        <f aca="false">B6/B5</f>
        <v>0.640605296343001</v>
      </c>
      <c r="C8" s="24" t="n">
        <f aca="false">C6/C5</f>
        <v>0.630515090262773</v>
      </c>
      <c r="D8" s="24" t="n">
        <f aca="false">D6/D5</f>
        <v>0.64670538754256</v>
      </c>
      <c r="E8" s="24" t="n">
        <f aca="false">E6/E5</f>
        <v>0.665816660128155</v>
      </c>
      <c r="F8" s="24" t="n">
        <f aca="false">F6/F5</f>
        <v>0.68926267863918</v>
      </c>
      <c r="G8" s="24" t="n">
        <f aca="false">G6/G5</f>
        <v>0.716658756525866</v>
      </c>
      <c r="H8" s="24" t="n">
        <f aca="false">H6/H5</f>
        <v>0.754098360655738</v>
      </c>
      <c r="I8" s="24" t="n">
        <f aca="false">I6/I5</f>
        <v>0.789538010266439</v>
      </c>
    </row>
    <row r="9" customFormat="false" ht="15" hidden="false" customHeight="false" outlineLevel="0" collapsed="false">
      <c r="A9" s="22" t="s">
        <v>166</v>
      </c>
      <c r="B9" s="25" t="n">
        <v>0.367</v>
      </c>
      <c r="C9" s="25" t="n">
        <v>0.382</v>
      </c>
      <c r="D9" s="25" t="n">
        <v>0.385</v>
      </c>
      <c r="E9" s="25" t="n">
        <v>0.381</v>
      </c>
      <c r="F9" s="25" t="n">
        <v>0.387</v>
      </c>
      <c r="G9" s="25" t="n">
        <v>0.39</v>
      </c>
      <c r="H9" s="25" t="n">
        <v>0.396</v>
      </c>
      <c r="I9" s="25" t="n">
        <v>0.402</v>
      </c>
      <c r="J9" s="9" t="n">
        <f aca="false">Assumptions!$B$42</f>
        <v>0.405</v>
      </c>
      <c r="K9" s="9" t="n">
        <f aca="false">Assumptions!$B$45</f>
        <v>0.41</v>
      </c>
      <c r="L9" s="9" t="n">
        <f aca="false">Assumptions!$B$48</f>
        <v>0.415</v>
      </c>
      <c r="M9" s="9" t="n">
        <f aca="false">Assumptions!$B$51</f>
        <v>0.42</v>
      </c>
    </row>
    <row r="10" customFormat="false" ht="15" hidden="false" customHeight="false" outlineLevel="0" collapsed="false">
      <c r="A10" s="22" t="s">
        <v>167</v>
      </c>
      <c r="B10" s="23" t="n">
        <f aca="false">B5*B9</f>
        <v>494.7527</v>
      </c>
      <c r="C10" s="23" t="n">
        <f aca="false">C5*C9</f>
        <v>548.0554</v>
      </c>
      <c r="D10" s="23" t="n">
        <f aca="false">D5*D9</f>
        <v>576.6915</v>
      </c>
      <c r="E10" s="23" t="n">
        <f aca="false">E5*E9</f>
        <v>582.7014</v>
      </c>
      <c r="F10" s="23" t="n">
        <f aca="false">F5*F9</f>
        <v>612.0018</v>
      </c>
      <c r="G10" s="23" t="n">
        <f aca="false">G5*G9</f>
        <v>657.384</v>
      </c>
      <c r="H10" s="23" t="n">
        <f aca="false">H5*H9</f>
        <v>715.0176</v>
      </c>
      <c r="I10" s="23" t="n">
        <f aca="false">I5*I9</f>
        <v>822.291</v>
      </c>
      <c r="J10" s="23" t="n">
        <f aca="false">J5*J9</f>
        <v>939.6</v>
      </c>
      <c r="K10" s="23" t="n">
        <f aca="false">K5*K9</f>
        <v>1025</v>
      </c>
      <c r="L10" s="23" t="n">
        <f aca="false">L5*L9</f>
        <v>1120.5</v>
      </c>
      <c r="M10" s="23" t="n">
        <f aca="false">M5*M9</f>
        <v>1218</v>
      </c>
    </row>
    <row r="11" customFormat="false" ht="15" hidden="false" customHeight="false" outlineLevel="0" collapsed="false">
      <c r="A11" s="22" t="s">
        <v>168</v>
      </c>
      <c r="B11" s="23" t="n">
        <f aca="false">B10-B12</f>
        <v>277.7086</v>
      </c>
      <c r="C11" s="23" t="n">
        <f aca="false">C10-C12</f>
        <v>282.6359</v>
      </c>
      <c r="D11" s="23" t="n">
        <f aca="false">D10-D12</f>
        <v>298.0821</v>
      </c>
      <c r="E11" s="23" t="n">
        <f aca="false">E10-E12</f>
        <v>307.4094</v>
      </c>
      <c r="F11" s="23" t="n">
        <f aca="false">F10-F12</f>
        <v>303.6288</v>
      </c>
      <c r="G11" s="23" t="n">
        <f aca="false">G10-G12</f>
        <v>321.9496</v>
      </c>
      <c r="H11" s="23" t="n">
        <f aca="false">H10-H12</f>
        <v>348.4808</v>
      </c>
      <c r="I11" s="23" t="n">
        <f aca="false">I10-I12</f>
        <v>376.372</v>
      </c>
      <c r="J11" s="21" t="n">
        <f aca="false">Assumptions!$B$43</f>
        <v>410</v>
      </c>
      <c r="K11" s="21" t="n">
        <f aca="false">Assumptions!$B$46</f>
        <v>430</v>
      </c>
      <c r="L11" s="21" t="n">
        <f aca="false">Assumptions!$B$49</f>
        <v>455</v>
      </c>
      <c r="M11" s="21" t="n">
        <f aca="false">Assumptions!$B$52</f>
        <v>480</v>
      </c>
    </row>
    <row r="12" customFormat="false" ht="15" hidden="false" customHeight="false" outlineLevel="0" collapsed="false">
      <c r="A12" s="5" t="s">
        <v>169</v>
      </c>
      <c r="B12" s="23" t="n">
        <f aca="false">B5*B13</f>
        <v>217.0441</v>
      </c>
      <c r="C12" s="23" t="n">
        <f aca="false">C5*C13</f>
        <v>265.4195</v>
      </c>
      <c r="D12" s="23" t="n">
        <f aca="false">D5*D13</f>
        <v>278.6094</v>
      </c>
      <c r="E12" s="23" t="n">
        <f aca="false">E5*E13</f>
        <v>275.292</v>
      </c>
      <c r="F12" s="23" t="n">
        <f aca="false">F5*F13</f>
        <v>308.373</v>
      </c>
      <c r="G12" s="23" t="n">
        <f aca="false">G5*G13</f>
        <v>335.4344</v>
      </c>
      <c r="H12" s="23" t="n">
        <f aca="false">H5*H13</f>
        <v>366.5368</v>
      </c>
      <c r="I12" s="23" t="n">
        <f aca="false">I5*I13</f>
        <v>445.919</v>
      </c>
      <c r="J12" s="23" t="n">
        <f aca="false">J10-J11</f>
        <v>529.6</v>
      </c>
      <c r="K12" s="23" t="n">
        <f aca="false">K10-K11</f>
        <v>595</v>
      </c>
      <c r="L12" s="23" t="n">
        <f aca="false">L10-L11</f>
        <v>665.5</v>
      </c>
      <c r="M12" s="23" t="n">
        <f aca="false">M10-M11</f>
        <v>738</v>
      </c>
    </row>
    <row r="13" customFormat="false" ht="15" hidden="false" customHeight="false" outlineLevel="0" collapsed="false">
      <c r="A13" s="22" t="s">
        <v>170</v>
      </c>
      <c r="B13" s="25" t="n">
        <v>0.161</v>
      </c>
      <c r="C13" s="25" t="n">
        <v>0.185</v>
      </c>
      <c r="D13" s="25" t="n">
        <v>0.186</v>
      </c>
      <c r="E13" s="25" t="n">
        <v>0.18</v>
      </c>
      <c r="F13" s="25" t="n">
        <v>0.195</v>
      </c>
      <c r="G13" s="25" t="n">
        <v>0.199</v>
      </c>
      <c r="H13" s="25" t="n">
        <v>0.203</v>
      </c>
      <c r="I13" s="25" t="n">
        <v>0.218</v>
      </c>
      <c r="J13" s="24" t="n">
        <f aca="false">J12/J5</f>
        <v>0.228275862068966</v>
      </c>
      <c r="K13" s="24" t="n">
        <f aca="false">K12/K5</f>
        <v>0.238</v>
      </c>
      <c r="L13" s="24" t="n">
        <f aca="false">L12/L5</f>
        <v>0.246481481481481</v>
      </c>
      <c r="M13" s="24" t="n">
        <f aca="false">M12/M5</f>
        <v>0.25448275862069</v>
      </c>
    </row>
    <row r="14" customFormat="false" ht="15" hidden="false" customHeight="false" outlineLevel="0" collapsed="false">
      <c r="A14" s="5" t="s">
        <v>171</v>
      </c>
      <c r="B14" s="26" t="n">
        <v>0.67</v>
      </c>
      <c r="C14" s="26" t="n">
        <v>0.95</v>
      </c>
      <c r="D14" s="26" t="n">
        <v>0.91</v>
      </c>
      <c r="E14" s="26" t="n">
        <v>1</v>
      </c>
      <c r="F14" s="26" t="n">
        <v>1.16</v>
      </c>
      <c r="G14" s="26" t="n">
        <v>1.29</v>
      </c>
      <c r="H14" s="26" t="n">
        <v>1.41</v>
      </c>
      <c r="I14" s="26" t="n">
        <v>1.74</v>
      </c>
      <c r="J14" s="27" t="n">
        <f aca="false">(J12-Assumptions!$B$53/4)*(1-Assumptions!$B$54)/203.5</f>
        <v>1.98857985257985</v>
      </c>
    </row>
    <row r="15" customFormat="false" ht="15" hidden="false" customHeight="false" outlineLevel="0" collapsed="false">
      <c r="A15" s="22" t="s">
        <v>172</v>
      </c>
      <c r="B15" s="25" t="n">
        <v>0.341</v>
      </c>
      <c r="C15" s="25" t="n">
        <v>0.355</v>
      </c>
      <c r="D15" s="25" t="n">
        <v>0.352</v>
      </c>
      <c r="E15" s="25" t="n">
        <v>0.357</v>
      </c>
      <c r="F15" s="25" t="n">
        <v>0.366</v>
      </c>
      <c r="G15" s="25" t="n">
        <v>0.369</v>
      </c>
      <c r="H15" s="25" t="n">
        <v>0.377</v>
      </c>
      <c r="I15" s="25" t="n">
        <v>0.385</v>
      </c>
    </row>
    <row r="17" customFormat="false" ht="15" hidden="false" customHeight="false" outlineLevel="0" collapsed="false">
      <c r="A17" s="0" t="s">
        <v>173</v>
      </c>
      <c r="J17" s="27" t="n">
        <f aca="false">(Assumptions!$B$33+Assumptions!$B$34)/2</f>
        <v>1.95</v>
      </c>
    </row>
    <row r="18" customFormat="false" ht="15" hidden="false" customHeight="false" outlineLevel="0" collapsed="false">
      <c r="A18" s="0" t="s">
        <v>174</v>
      </c>
      <c r="J18" s="23" t="n">
        <f aca="false">(Assumptions!$B$31+Assumptions!$B$32)/2</f>
        <v>2300</v>
      </c>
    </row>
    <row r="19" customFormat="false" ht="15" hidden="false" customHeight="false" outlineLevel="0" collapsed="false">
      <c r="A19" s="0" t="s">
        <v>175</v>
      </c>
      <c r="B19" s="9" t="n">
        <f aca="false">Assumptions!$B$20/Assumptions!$B$19-1</f>
        <v>0.404612270984235</v>
      </c>
    </row>
    <row r="21" customFormat="false" ht="15" hidden="false" customHeight="false" outlineLevel="0" collapsed="false">
      <c r="A21" s="11" t="s">
        <v>176</v>
      </c>
    </row>
    <row r="22" customFormat="false" ht="15" hidden="false" customHeight="false" outlineLevel="0" collapsed="false">
      <c r="A22" s="11" t="s">
        <v>177</v>
      </c>
    </row>
    <row r="23" customFormat="false" ht="15" hidden="false" customHeight="false" outlineLevel="0" collapsed="false">
      <c r="A23" s="11" t="s">
        <v>178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0"/>
    <col collapsed="false" customWidth="true" hidden="false" outlineLevel="0" max="6" min="2" style="0" width="13"/>
  </cols>
  <sheetData>
    <row r="1" customFormat="false" ht="15" hidden="false" customHeight="false" outlineLevel="0" collapsed="false">
      <c r="A1" s="1" t="s">
        <v>179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  <c r="B4" s="4" t="s">
        <v>180</v>
      </c>
      <c r="C4" s="4" t="s">
        <v>181</v>
      </c>
      <c r="D4" s="4" t="s">
        <v>182</v>
      </c>
      <c r="E4" s="4" t="s">
        <v>183</v>
      </c>
      <c r="F4" s="4" t="s">
        <v>184</v>
      </c>
    </row>
    <row r="5" customFormat="false" ht="15" hidden="false" customHeight="false" outlineLevel="0" collapsed="false">
      <c r="A5" s="5" t="s">
        <v>162</v>
      </c>
      <c r="B5" s="28" t="n">
        <f aca="false">Assumptions!$B$16</f>
        <v>4707.7</v>
      </c>
      <c r="C5" s="28" t="n">
        <f aca="false">Assumptions!$B$17</f>
        <v>5810.1</v>
      </c>
      <c r="D5" s="28" t="n">
        <f aca="false">Assumptions!$B$18</f>
        <v>7118.2</v>
      </c>
      <c r="E5" s="28" t="n">
        <f aca="false">SUM(Quarters!J5:M5)</f>
        <v>10420</v>
      </c>
      <c r="F5" s="29" t="n">
        <f aca="false">E5*(1+Assumptions!$B$57)</f>
        <v>13025</v>
      </c>
    </row>
    <row r="6" customFormat="false" ht="15" hidden="false" customHeight="false" outlineLevel="0" collapsed="false">
      <c r="A6" s="22" t="s">
        <v>185</v>
      </c>
      <c r="C6" s="24" t="n">
        <f aca="false">C5/B5-1</f>
        <v>0.234169552010536</v>
      </c>
      <c r="D6" s="24" t="n">
        <f aca="false">D5/C5-1</f>
        <v>0.225142424398892</v>
      </c>
      <c r="E6" s="24" t="n">
        <f aca="false">E5/D5-1</f>
        <v>0.463853221319997</v>
      </c>
      <c r="F6" s="24" t="n">
        <f aca="false">F5/E5-1</f>
        <v>0.25</v>
      </c>
    </row>
    <row r="7" customFormat="false" ht="15" hidden="false" customHeight="false" outlineLevel="0" collapsed="false">
      <c r="A7" s="22" t="s">
        <v>166</v>
      </c>
      <c r="C7" s="9" t="n">
        <f aca="false">Assumptions!$B$26</f>
        <v>0.379</v>
      </c>
      <c r="D7" s="9" t="n">
        <f aca="false">Assumptions!$B$27</f>
        <v>0.394</v>
      </c>
      <c r="E7" s="9" t="n">
        <f aca="false">SUM(Quarters!J10:M10)/E5</f>
        <v>0.412965451055662</v>
      </c>
      <c r="F7" s="9" t="n">
        <f aca="false">Assumptions!$B$58</f>
        <v>0.42</v>
      </c>
    </row>
    <row r="8" customFormat="false" ht="15" hidden="false" customHeight="false" outlineLevel="0" collapsed="false">
      <c r="A8" s="22" t="s">
        <v>169</v>
      </c>
      <c r="C8" s="29" t="n">
        <f aca="false">C5*C9</f>
        <v>1034.1978</v>
      </c>
      <c r="D8" s="29" t="n">
        <f aca="false">D5*D9</f>
        <v>1459.231</v>
      </c>
      <c r="E8" s="28" t="n">
        <f aca="false">SUM(Quarters!J12:M12)</f>
        <v>2528.1</v>
      </c>
      <c r="F8" s="29" t="n">
        <f aca="false">F5*F9</f>
        <v>3321.375</v>
      </c>
    </row>
    <row r="9" customFormat="false" ht="15" hidden="false" customHeight="false" outlineLevel="0" collapsed="false">
      <c r="A9" s="22" t="s">
        <v>170</v>
      </c>
      <c r="C9" s="9" t="n">
        <f aca="false">Assumptions!$B$28</f>
        <v>0.178</v>
      </c>
      <c r="D9" s="9" t="n">
        <f aca="false">Assumptions!$B$29</f>
        <v>0.205</v>
      </c>
      <c r="E9" s="24" t="n">
        <f aca="false">E8/E5</f>
        <v>0.242619961612284</v>
      </c>
      <c r="F9" s="9" t="n">
        <f aca="false">Assumptions!$B$58-Assumptions!$B$59</f>
        <v>0.255</v>
      </c>
    </row>
    <row r="10" customFormat="false" ht="15" hidden="false" customHeight="false" outlineLevel="0" collapsed="false">
      <c r="A10" s="22" t="s">
        <v>186</v>
      </c>
      <c r="E10" s="28" t="n">
        <f aca="false">-Assumptions!$B$53</f>
        <v>-120</v>
      </c>
      <c r="F10" s="28" t="n">
        <f aca="false">-Assumptions!$B$60</f>
        <v>-120</v>
      </c>
    </row>
    <row r="11" customFormat="false" ht="15" hidden="false" customHeight="false" outlineLevel="0" collapsed="false">
      <c r="A11" s="22" t="s">
        <v>187</v>
      </c>
      <c r="E11" s="29" t="n">
        <f aca="false">E8+E10</f>
        <v>2408.1</v>
      </c>
      <c r="F11" s="29" t="n">
        <f aca="false">F8+F10</f>
        <v>3201.375</v>
      </c>
    </row>
    <row r="12" customFormat="false" ht="15" hidden="false" customHeight="false" outlineLevel="0" collapsed="false">
      <c r="A12" s="22" t="s">
        <v>188</v>
      </c>
      <c r="E12" s="28" t="n">
        <f aca="false">-E11*Assumptions!$B$54</f>
        <v>-457.539</v>
      </c>
      <c r="F12" s="28" t="n">
        <f aca="false">-F11*Assumptions!$B$54</f>
        <v>-608.26125</v>
      </c>
    </row>
    <row r="13" customFormat="false" ht="15" hidden="false" customHeight="false" outlineLevel="0" collapsed="false">
      <c r="A13" s="22" t="s">
        <v>189</v>
      </c>
      <c r="E13" s="29" t="n">
        <f aca="false">E11+E12</f>
        <v>1950.561</v>
      </c>
      <c r="F13" s="29" t="n">
        <f aca="false">F11+F12</f>
        <v>2593.11375</v>
      </c>
    </row>
    <row r="14" customFormat="false" ht="15" hidden="false" customHeight="false" outlineLevel="0" collapsed="false">
      <c r="A14" s="22" t="s">
        <v>190</v>
      </c>
      <c r="E14" s="21" t="n">
        <f aca="false">Assumptions!$B$55</f>
        <v>204</v>
      </c>
      <c r="F14" s="21" t="n">
        <f aca="false">Assumptions!$B$61</f>
        <v>207</v>
      </c>
    </row>
    <row r="15" customFormat="false" ht="15" hidden="false" customHeight="false" outlineLevel="0" collapsed="false">
      <c r="A15" s="5" t="s">
        <v>191</v>
      </c>
      <c r="B15" s="8" t="n">
        <f aca="false">Assumptions!$B$23</f>
        <v>1.21</v>
      </c>
      <c r="C15" s="8" t="n">
        <f aca="false">Assumptions!$B$24</f>
        <v>3.53</v>
      </c>
      <c r="D15" s="8" t="n">
        <f aca="false">Assumptions!$B$25</f>
        <v>5.61</v>
      </c>
      <c r="E15" s="30" t="n">
        <f aca="false">E13/E14</f>
        <v>9.56157352941177</v>
      </c>
      <c r="F15" s="30" t="n">
        <f aca="false">F13/F14</f>
        <v>12.5271195652174</v>
      </c>
    </row>
    <row r="16" customFormat="false" ht="15" hidden="false" customHeight="false" outlineLevel="0" collapsed="false">
      <c r="A16" s="22" t="s">
        <v>185</v>
      </c>
      <c r="C16" s="24" t="n">
        <f aca="false">C15/B15-1</f>
        <v>1.91735537190083</v>
      </c>
      <c r="D16" s="24" t="n">
        <f aca="false">D15/C15-1</f>
        <v>0.589235127478754</v>
      </c>
      <c r="E16" s="24" t="n">
        <f aca="false">E15/D15-1</f>
        <v>0.704380308273042</v>
      </c>
      <c r="F16" s="24" t="n">
        <f aca="false">F15/E15-1</f>
        <v>0.310152510638912</v>
      </c>
    </row>
    <row r="17" customFormat="false" ht="15" hidden="false" customHeight="false" outlineLevel="0" collapsed="false">
      <c r="A17" s="22" t="s">
        <v>192</v>
      </c>
      <c r="E17" s="8" t="n">
        <f aca="false">Assumptions!$B$35</f>
        <v>9.4</v>
      </c>
      <c r="F17" s="8" t="n">
        <f aca="false">Assumptions!$B$36</f>
        <v>13.91</v>
      </c>
    </row>
    <row r="18" customFormat="false" ht="15" hidden="false" customHeight="false" outlineLevel="0" collapsed="false">
      <c r="A18" s="22" t="s">
        <v>193</v>
      </c>
      <c r="E18" s="24" t="n">
        <f aca="false">E15/E17-1</f>
        <v>0.0171886733416771</v>
      </c>
      <c r="F18" s="24" t="n">
        <f aca="false">F15/F17-1</f>
        <v>-0.0994162785609352</v>
      </c>
    </row>
    <row r="19" customFormat="false" ht="15" hidden="false" customHeight="false" outlineLevel="0" collapsed="false">
      <c r="A19" s="22" t="s">
        <v>194</v>
      </c>
      <c r="E19" s="28" t="n">
        <f aca="false">Assumptions!$B$37</f>
        <v>10630</v>
      </c>
      <c r="F19" s="28" t="n">
        <f aca="false">Assumptions!$B$38</f>
        <v>14690</v>
      </c>
    </row>
    <row r="20" customFormat="false" ht="15" hidden="false" customHeight="false" outlineLevel="0" collapsed="false">
      <c r="A20" s="22" t="s">
        <v>193</v>
      </c>
      <c r="E20" s="24" t="n">
        <f aca="false">E5/E19-1</f>
        <v>-0.0197554092191909</v>
      </c>
      <c r="F20" s="24" t="n">
        <f aca="false">F5/F19-1</f>
        <v>-0.113342409802587</v>
      </c>
    </row>
    <row r="22" customFormat="false" ht="15" hidden="false" customHeight="false" outlineLevel="0" collapsed="false">
      <c r="A22" s="0" t="s">
        <v>195</v>
      </c>
      <c r="D22" s="9" t="n">
        <f aca="false">Assumptions!$B$20/Assumptions!$B$18</f>
        <v>0.741001938692366</v>
      </c>
    </row>
    <row r="23" customFormat="false" ht="15" hidden="false" customHeight="false" outlineLevel="0" collapsed="false">
      <c r="A23" s="0" t="s">
        <v>196</v>
      </c>
      <c r="C23" s="9" t="n">
        <f aca="false">Assumptions!$B$21/Assumptions!$B$19</f>
        <v>0.24073285044738</v>
      </c>
      <c r="D23" s="9" t="n">
        <f aca="false">Assumptions!$B$22/Assumptions!$B$20</f>
        <v>0.252151821939104</v>
      </c>
    </row>
    <row r="25" customFormat="false" ht="15" hidden="false" customHeight="false" outlineLevel="0" collapsed="false">
      <c r="A25" s="11" t="s">
        <v>197</v>
      </c>
    </row>
    <row r="26" customFormat="false" ht="15" hidden="false" customHeight="false" outlineLevel="0" collapsed="false">
      <c r="A26" s="11" t="s">
        <v>198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4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199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200</v>
      </c>
    </row>
    <row r="5" customFormat="false" ht="15" hidden="false" customHeight="false" outlineLevel="0" collapsed="false">
      <c r="A5" s="0" t="s">
        <v>20</v>
      </c>
      <c r="B5" s="8" t="n">
        <f aca="false">Annual!F15</f>
        <v>12.5271195652174</v>
      </c>
      <c r="C5" s="7" t="s">
        <v>201</v>
      </c>
    </row>
    <row r="6" customFormat="false" ht="15" hidden="false" customHeight="false" outlineLevel="0" collapsed="false">
      <c r="A6" s="0" t="s">
        <v>202</v>
      </c>
      <c r="B6" s="31" t="n">
        <f aca="false">Assumptions!$B$62</f>
        <v>22</v>
      </c>
      <c r="C6" s="7" t="s">
        <v>203</v>
      </c>
    </row>
    <row r="7" customFormat="false" ht="15" hidden="false" customHeight="false" outlineLevel="0" collapsed="false">
      <c r="A7" s="5" t="s">
        <v>204</v>
      </c>
      <c r="B7" s="30" t="n">
        <f aca="false">B5*B6</f>
        <v>275.596630434783</v>
      </c>
      <c r="C7" s="7"/>
    </row>
    <row r="8" customFormat="false" ht="15" hidden="false" customHeight="false" outlineLevel="0" collapsed="false">
      <c r="A8" s="0" t="s">
        <v>15</v>
      </c>
      <c r="B8" s="8" t="n">
        <f aca="false">Assumptions!$B$7</f>
        <v>210.32</v>
      </c>
      <c r="C8" s="7" t="s">
        <v>16</v>
      </c>
    </row>
    <row r="9" customFormat="false" ht="15" hidden="false" customHeight="false" outlineLevel="0" collapsed="false">
      <c r="A9" s="0" t="s">
        <v>17</v>
      </c>
      <c r="B9" s="24" t="n">
        <f aca="false">B7/B8-1</f>
        <v>0.310368155357468</v>
      </c>
      <c r="C9" s="7" t="s">
        <v>205</v>
      </c>
    </row>
    <row r="10" customFormat="false" ht="15" hidden="false" customHeight="false" outlineLevel="0" collapsed="false">
      <c r="A10" s="5" t="s">
        <v>206</v>
      </c>
      <c r="B10" s="32" t="str">
        <f aca="false">IF(B9&gt;=0.15,"LONG",IF(B9&lt;=-0.25,"SHORT","NO CALL"))</f>
        <v>LONG</v>
      </c>
      <c r="C10" s="7" t="s">
        <v>207</v>
      </c>
    </row>
    <row r="11" customFormat="false" ht="15" hidden="false" customHeight="false" outlineLevel="0" collapsed="false">
      <c r="A11" s="0" t="s">
        <v>208</v>
      </c>
      <c r="B11" s="33" t="n">
        <v>275</v>
      </c>
      <c r="C11" s="7" t="s">
        <v>209</v>
      </c>
    </row>
    <row r="12" customFormat="false" ht="15" hidden="false" customHeight="false" outlineLevel="0" collapsed="false">
      <c r="A12" s="0" t="s">
        <v>210</v>
      </c>
      <c r="B12" s="24" t="n">
        <f aca="false">IF(B11="","",B11/B8-1)</f>
        <v>0.307531380753138</v>
      </c>
      <c r="C12" s="7"/>
    </row>
    <row r="14" customFormat="false" ht="15" hidden="false" customHeight="false" outlineLevel="0" collapsed="false">
      <c r="A14" s="0" t="s">
        <v>211</v>
      </c>
      <c r="B14" s="34" t="n">
        <f aca="false">Assumptions!$B$11*B8/1000</f>
        <v>41.18743797872</v>
      </c>
      <c r="C14" s="7" t="s">
        <v>212</v>
      </c>
    </row>
    <row r="15" customFormat="false" ht="15" hidden="false" customHeight="false" outlineLevel="0" collapsed="false">
      <c r="A15" s="0" t="s">
        <v>213</v>
      </c>
      <c r="B15" s="28" t="n">
        <f aca="false">Assumptions!$B$13-Assumptions!$B$12</f>
        <v>1235.2</v>
      </c>
      <c r="C15" s="7" t="s">
        <v>214</v>
      </c>
    </row>
    <row r="16" customFormat="false" ht="15" hidden="false" customHeight="false" outlineLevel="0" collapsed="false">
      <c r="A16" s="0" t="s">
        <v>215</v>
      </c>
      <c r="B16" s="35" t="n">
        <f aca="false">B14+(B15+Assumptions!$B$14)/1000</f>
        <v>42.75733797872</v>
      </c>
      <c r="C16" s="7"/>
    </row>
    <row r="17" customFormat="false" ht="15" hidden="false" customHeight="false" outlineLevel="0" collapsed="false">
      <c r="A17" s="0" t="s">
        <v>216</v>
      </c>
      <c r="B17" s="36" t="n">
        <f aca="false">B8/Assumptions!$B$25</f>
        <v>37.4901960784314</v>
      </c>
      <c r="C17" s="7"/>
    </row>
    <row r="18" customFormat="false" ht="15" hidden="false" customHeight="false" outlineLevel="0" collapsed="false">
      <c r="A18" s="0" t="s">
        <v>217</v>
      </c>
      <c r="B18" s="36" t="n">
        <f aca="false">B8/Assumptions!$B$35</f>
        <v>22.3744680851064</v>
      </c>
      <c r="C18" s="7" t="s">
        <v>218</v>
      </c>
    </row>
    <row r="19" customFormat="false" ht="15" hidden="false" customHeight="false" outlineLevel="0" collapsed="false">
      <c r="A19" s="0" t="s">
        <v>219</v>
      </c>
      <c r="B19" s="36" t="n">
        <f aca="false">B8/Assumptions!$B$36</f>
        <v>15.1200575125809</v>
      </c>
      <c r="C19" s="7" t="s">
        <v>218</v>
      </c>
    </row>
    <row r="20" customFormat="false" ht="15" hidden="false" customHeight="false" outlineLevel="0" collapsed="false">
      <c r="A20" s="0" t="s">
        <v>220</v>
      </c>
      <c r="B20" s="36" t="n">
        <f aca="false">B8/Annual!E15</f>
        <v>21.9963795031276</v>
      </c>
      <c r="C20" s="7"/>
    </row>
    <row r="21" customFormat="false" ht="15" hidden="false" customHeight="false" outlineLevel="0" collapsed="false">
      <c r="A21" s="0" t="s">
        <v>221</v>
      </c>
      <c r="B21" s="36" t="n">
        <f aca="false">B8/Annual!F15</f>
        <v>16.7891747903462</v>
      </c>
      <c r="C21" s="7"/>
    </row>
    <row r="22" customFormat="false" ht="15" hidden="false" customHeight="false" outlineLevel="0" collapsed="false">
      <c r="A22" s="0" t="s">
        <v>222</v>
      </c>
      <c r="B22" s="27" t="n">
        <f aca="false">B8/B6</f>
        <v>9.56</v>
      </c>
      <c r="C22" s="7" t="s">
        <v>223</v>
      </c>
    </row>
    <row r="23" customFormat="false" ht="15" hidden="false" customHeight="false" outlineLevel="0" collapsed="false">
      <c r="A23" s="0" t="s">
        <v>224</v>
      </c>
      <c r="B23" s="24" t="n">
        <f aca="false">B22/Annual!E15-1</f>
        <v>-0.000164568039656254</v>
      </c>
      <c r="C23" s="7"/>
    </row>
    <row r="24" customFormat="false" ht="15" hidden="false" customHeight="false" outlineLevel="0" collapsed="false">
      <c r="A24" s="0" t="s">
        <v>225</v>
      </c>
      <c r="B24" s="27" t="n">
        <f aca="false">B7/1.15</f>
        <v>239.649243856333</v>
      </c>
      <c r="C24" s="7"/>
    </row>
    <row r="25" customFormat="false" ht="15" hidden="false" customHeight="false" outlineLevel="0" collapsed="false">
      <c r="A25" s="0" t="s">
        <v>226</v>
      </c>
      <c r="B25" s="27" t="n">
        <f aca="false">B7/0.75</f>
        <v>367.462173913044</v>
      </c>
      <c r="C25" s="7"/>
    </row>
    <row r="26" customFormat="false" ht="15" hidden="false" customHeight="false" outlineLevel="0" collapsed="false">
      <c r="A26" s="0" t="s">
        <v>227</v>
      </c>
      <c r="B26" s="24" t="n">
        <f aca="false">B8/Assumptions!$B$8-1</f>
        <v>-0.507320386984938</v>
      </c>
      <c r="C26" s="7" t="s">
        <v>228</v>
      </c>
    </row>
    <row r="27" customFormat="false" ht="15" hidden="false" customHeight="false" outlineLevel="0" collapsed="false">
      <c r="A27" s="0" t="s">
        <v>229</v>
      </c>
      <c r="B27" s="24" t="n">
        <f aca="false">B8/Assumptions!$B$9-1</f>
        <v>0.139513463726499</v>
      </c>
      <c r="C27" s="7"/>
    </row>
    <row r="28" customFormat="false" ht="15" hidden="false" customHeight="false" outlineLevel="0" collapsed="false">
      <c r="A28" s="0" t="s">
        <v>230</v>
      </c>
      <c r="B28" s="24" t="n">
        <f aca="false">B8/Assumptions!$B$10-1</f>
        <v>-0.180996884735203</v>
      </c>
      <c r="C28" s="7"/>
    </row>
    <row r="29" customFormat="false" ht="15" hidden="false" customHeight="false" outlineLevel="0" collapsed="false">
      <c r="A29" s="0" t="s">
        <v>231</v>
      </c>
      <c r="B29" s="9" t="n">
        <f aca="false">Assumptions!$B$39/B8-1</f>
        <v>0.859071890452644</v>
      </c>
      <c r="C29" s="7" t="s">
        <v>232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13"/>
    <col collapsed="false" customWidth="true" hidden="false" outlineLevel="0" max="5" min="5" style="0" width="11"/>
    <col collapsed="false" customWidth="true" hidden="false" outlineLevel="0" max="7" min="6" style="0" width="14"/>
    <col collapsed="false" customWidth="true" hidden="false" outlineLevel="0" max="9" min="8" style="0" width="13"/>
    <col collapsed="false" customWidth="true" hidden="false" outlineLevel="0" max="10" min="10" style="0" width="11"/>
  </cols>
  <sheetData>
    <row r="1" customFormat="false" ht="15" hidden="false" customHeight="false" outlineLevel="0" collapsed="false">
      <c r="A1" s="1" t="s">
        <v>233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234</v>
      </c>
      <c r="B4" s="4" t="s">
        <v>235</v>
      </c>
      <c r="C4" s="4" t="s">
        <v>236</v>
      </c>
      <c r="D4" s="4" t="s">
        <v>237</v>
      </c>
      <c r="E4" s="4" t="s">
        <v>238</v>
      </c>
      <c r="F4" s="4" t="s">
        <v>239</v>
      </c>
      <c r="G4" s="4" t="s">
        <v>240</v>
      </c>
      <c r="H4" s="4" t="s">
        <v>241</v>
      </c>
      <c r="I4" s="4" t="s">
        <v>242</v>
      </c>
      <c r="J4" s="4" t="s">
        <v>243</v>
      </c>
    </row>
    <row r="5" customFormat="false" ht="15" hidden="false" customHeight="false" outlineLevel="0" collapsed="false">
      <c r="A5" s="5" t="s">
        <v>244</v>
      </c>
      <c r="B5" s="17" t="n">
        <v>0</v>
      </c>
      <c r="C5" s="17" t="n">
        <v>0.375</v>
      </c>
      <c r="D5" s="17" t="n">
        <v>0.18</v>
      </c>
      <c r="E5" s="19" t="n">
        <v>14</v>
      </c>
      <c r="F5" s="37" t="n">
        <f aca="false">Annual!$E$5*(1+B5)</f>
        <v>10420</v>
      </c>
      <c r="G5" s="37" t="n">
        <f aca="false">F5*(C5-D5)</f>
        <v>2031.9</v>
      </c>
      <c r="H5" s="38" t="n">
        <f aca="false">(G5-Assumptions!$B$60)*(1-Assumptions!$B$54)/Assumptions!$B$61</f>
        <v>7.48134782608696</v>
      </c>
      <c r="I5" s="38" t="n">
        <f aca="false">H5*E5</f>
        <v>104.738869565217</v>
      </c>
      <c r="J5" s="39" t="n">
        <f aca="false">I5/Assumptions!$B$7-1</f>
        <v>-0.502002331850431</v>
      </c>
    </row>
    <row r="6" customFormat="false" ht="15" hidden="false" customHeight="false" outlineLevel="0" collapsed="false">
      <c r="A6" s="5" t="s">
        <v>245</v>
      </c>
      <c r="B6" s="40" t="n">
        <f aca="false">Assumptions!$B$57</f>
        <v>0.25</v>
      </c>
      <c r="C6" s="40" t="n">
        <f aca="false">Assumptions!$B$58</f>
        <v>0.42</v>
      </c>
      <c r="D6" s="40" t="n">
        <f aca="false">Assumptions!$B$59</f>
        <v>0.165</v>
      </c>
      <c r="E6" s="41" t="n">
        <f aca="false">Assumptions!$B$62</f>
        <v>22</v>
      </c>
      <c r="F6" s="37" t="n">
        <f aca="false">Annual!$E$5*(1+B6)</f>
        <v>13025</v>
      </c>
      <c r="G6" s="37" t="n">
        <f aca="false">F6*(C6-D6)</f>
        <v>3321.375</v>
      </c>
      <c r="H6" s="38" t="n">
        <f aca="false">(G6-Assumptions!$B$60)*(1-Assumptions!$B$54)/Assumptions!$B$61</f>
        <v>12.5271195652174</v>
      </c>
      <c r="I6" s="38" t="n">
        <f aca="false">H6*E6</f>
        <v>275.596630434783</v>
      </c>
      <c r="J6" s="39" t="n">
        <f aca="false">I6/Assumptions!$B$7-1</f>
        <v>0.310368155357468</v>
      </c>
    </row>
    <row r="7" customFormat="false" ht="15" hidden="false" customHeight="false" outlineLevel="0" collapsed="false">
      <c r="A7" s="5" t="s">
        <v>246</v>
      </c>
      <c r="B7" s="17" t="n">
        <v>0.4</v>
      </c>
      <c r="C7" s="17" t="n">
        <v>0.435</v>
      </c>
      <c r="D7" s="17" t="n">
        <v>0.16</v>
      </c>
      <c r="E7" s="19" t="n">
        <v>28</v>
      </c>
      <c r="F7" s="37" t="n">
        <f aca="false">Annual!$E$5*(1+B7)</f>
        <v>14588</v>
      </c>
      <c r="G7" s="37" t="n">
        <f aca="false">F7*(C7-D7)</f>
        <v>4011.7</v>
      </c>
      <c r="H7" s="38" t="n">
        <f aca="false">(G7-Assumptions!$B$60)*(1-Assumptions!$B$54)/Assumptions!$B$61</f>
        <v>15.2283913043478</v>
      </c>
      <c r="I7" s="38" t="n">
        <f aca="false">H7*E7</f>
        <v>426.394956521739</v>
      </c>
      <c r="J7" s="39" t="n">
        <f aca="false">I7/Assumptions!$B$7-1</f>
        <v>1.02736285908016</v>
      </c>
    </row>
    <row r="8" customFormat="false" ht="15" hidden="false" customHeight="false" outlineLevel="0" collapsed="false">
      <c r="B8" s="5" t="s">
        <v>244</v>
      </c>
      <c r="C8" s="5" t="s">
        <v>245</v>
      </c>
      <c r="D8" s="5" t="s">
        <v>246</v>
      </c>
    </row>
    <row r="9" customFormat="false" ht="15" hidden="false" customHeight="false" outlineLevel="0" collapsed="false">
      <c r="A9" s="5" t="s">
        <v>247</v>
      </c>
      <c r="B9" s="42" t="n">
        <v>0.25</v>
      </c>
      <c r="C9" s="42" t="n">
        <v>0.5</v>
      </c>
      <c r="D9" s="42" t="n">
        <v>0.25</v>
      </c>
      <c r="E9" s="43" t="n">
        <f aca="false">SUM(B9:D9)</f>
        <v>1</v>
      </c>
      <c r="F9" s="11" t="s">
        <v>248</v>
      </c>
    </row>
    <row r="11" customFormat="false" ht="15" hidden="false" customHeight="false" outlineLevel="0" collapsed="false">
      <c r="A11" s="5" t="s">
        <v>18</v>
      </c>
      <c r="E11" s="44" t="n">
        <f aca="false">B9*I5+C9*I6+D9*I7</f>
        <v>270.581771739131</v>
      </c>
      <c r="F11" s="39" t="n">
        <f aca="false">E11/Assumptions!$B$7-1</f>
        <v>0.286524209486166</v>
      </c>
    </row>
    <row r="12" customFormat="false" ht="15" hidden="false" customHeight="false" outlineLevel="0" collapsed="false">
      <c r="A12" s="0" t="s">
        <v>249</v>
      </c>
      <c r="E12" s="45" t="n">
        <f aca="false">I6-Valuation!B7</f>
        <v>0</v>
      </c>
    </row>
    <row r="14" customFormat="false" ht="15" hidden="false" customHeight="false" outlineLevel="0" collapsed="false">
      <c r="A14" s="11" t="s">
        <v>250</v>
      </c>
    </row>
    <row r="15" customFormat="false" ht="15" hidden="false" customHeight="false" outlineLevel="0" collapsed="false">
      <c r="A15" s="11" t="s">
        <v>251</v>
      </c>
    </row>
    <row r="16" customFormat="false" ht="15" hidden="false" customHeight="false" outlineLevel="0" collapsed="false">
      <c r="A16" s="11" t="s">
        <v>252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4"/>
  </cols>
  <sheetData>
    <row r="1" customFormat="false" ht="15" hidden="false" customHeight="false" outlineLevel="0" collapsed="false">
      <c r="A1" s="1" t="s">
        <v>253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254</v>
      </c>
      <c r="B4" s="46" t="n">
        <v>18</v>
      </c>
      <c r="C4" s="46" t="n">
        <f aca="false">Assumptions!$B$62</f>
        <v>22</v>
      </c>
      <c r="D4" s="46" t="n">
        <v>26</v>
      </c>
    </row>
    <row r="5" customFormat="false" ht="15" hidden="false" customHeight="false" outlineLevel="0" collapsed="false">
      <c r="A5" s="12" t="n">
        <v>9.5</v>
      </c>
      <c r="B5" s="47" t="n">
        <f aca="false">$A5*B$4</f>
        <v>171</v>
      </c>
      <c r="C5" s="47" t="n">
        <f aca="false">$A5*C$4</f>
        <v>209</v>
      </c>
      <c r="D5" s="47" t="n">
        <f aca="false">$A5*D$4</f>
        <v>247</v>
      </c>
    </row>
    <row r="6" customFormat="false" ht="15" hidden="false" customHeight="false" outlineLevel="0" collapsed="false">
      <c r="A6" s="48" t="n">
        <f aca="false">Annual!F15</f>
        <v>12.5271195652174</v>
      </c>
      <c r="B6" s="47" t="n">
        <f aca="false">$A6*B$4</f>
        <v>225.488152173913</v>
      </c>
      <c r="C6" s="49" t="n">
        <f aca="false">$A6*C$4</f>
        <v>275.596630434783</v>
      </c>
      <c r="D6" s="47" t="n">
        <f aca="false">$A6*D$4</f>
        <v>325.705108695652</v>
      </c>
    </row>
    <row r="7" customFormat="false" ht="15" hidden="false" customHeight="false" outlineLevel="0" collapsed="false">
      <c r="A7" s="12" t="n">
        <v>15</v>
      </c>
      <c r="B7" s="47" t="n">
        <f aca="false">$A7*B$4</f>
        <v>270</v>
      </c>
      <c r="C7" s="47" t="n">
        <f aca="false">$A7*C$4</f>
        <v>330</v>
      </c>
      <c r="D7" s="47" t="n">
        <f aca="false">$A7*D$4</f>
        <v>390</v>
      </c>
    </row>
    <row r="9" customFormat="false" ht="15" hidden="false" customHeight="false" outlineLevel="0" collapsed="false">
      <c r="A9" s="5" t="s">
        <v>255</v>
      </c>
      <c r="B9" s="0" t="n">
        <f aca="false">COUNTIF(B5:D7,"&gt;"&amp;Assumptions!$B$7)</f>
        <v>7</v>
      </c>
      <c r="C9" s="0" t="s">
        <v>256</v>
      </c>
    </row>
    <row r="10" customFormat="false" ht="15" hidden="false" customHeight="false" outlineLevel="0" collapsed="false">
      <c r="A10" s="5" t="s">
        <v>257</v>
      </c>
      <c r="B10" s="0" t="n">
        <f aca="false">COUNTIF(B5:D7,"&gt;="&amp;Assumptions!$B$7*1.15)</f>
        <v>6</v>
      </c>
      <c r="C10" s="0" t="s">
        <v>256</v>
      </c>
    </row>
    <row r="12" customFormat="false" ht="15" hidden="false" customHeight="false" outlineLevel="0" collapsed="false">
      <c r="A12" s="11" t="s">
        <v>258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6"/>
    <col collapsed="false" customWidth="true" hidden="false" outlineLevel="0" max="4" min="2" style="0" width="13"/>
  </cols>
  <sheetData>
    <row r="1" customFormat="false" ht="15" hidden="false" customHeight="false" outlineLevel="0" collapsed="false">
      <c r="A1" s="1" t="s">
        <v>259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149</v>
      </c>
      <c r="B4" s="4" t="s">
        <v>260</v>
      </c>
      <c r="C4" s="4" t="s">
        <v>261</v>
      </c>
      <c r="D4" s="4" t="s">
        <v>262</v>
      </c>
    </row>
    <row r="5" customFormat="false" ht="15" hidden="false" customHeight="false" outlineLevel="0" collapsed="false">
      <c r="A5" s="0" t="s">
        <v>263</v>
      </c>
      <c r="B5" s="20" t="n">
        <v>545.7</v>
      </c>
      <c r="C5" s="20" t="n">
        <v>633.6</v>
      </c>
      <c r="D5" s="20" t="n">
        <v>79.5</v>
      </c>
    </row>
    <row r="6" customFormat="false" ht="15" hidden="false" customHeight="false" outlineLevel="0" collapsed="false">
      <c r="A6" s="0" t="s">
        <v>264</v>
      </c>
      <c r="B6" s="20" t="n">
        <v>346.8</v>
      </c>
      <c r="C6" s="20" t="n">
        <v>440.8</v>
      </c>
      <c r="D6" s="20" t="n">
        <v>1102.9</v>
      </c>
    </row>
    <row r="7" customFormat="false" ht="15" hidden="false" customHeight="false" outlineLevel="0" collapsed="false">
      <c r="A7" s="0" t="s">
        <v>265</v>
      </c>
      <c r="B7" s="23" t="n">
        <f aca="false">B5-B6</f>
        <v>198.9</v>
      </c>
      <c r="C7" s="23" t="n">
        <f aca="false">C5-C6</f>
        <v>192.8</v>
      </c>
      <c r="D7" s="23" t="n">
        <f aca="false">D5-D6</f>
        <v>-1023.4</v>
      </c>
    </row>
    <row r="8" customFormat="false" ht="15" hidden="false" customHeight="false" outlineLevel="0" collapsed="false">
      <c r="A8" s="0" t="s">
        <v>266</v>
      </c>
      <c r="C8" s="20" t="n">
        <v>1437.6</v>
      </c>
      <c r="D8" s="20" t="n">
        <v>2581</v>
      </c>
    </row>
    <row r="9" customFormat="false" ht="15" hidden="false" customHeight="false" outlineLevel="0" collapsed="false">
      <c r="A9" s="0" t="s">
        <v>267</v>
      </c>
      <c r="C9" s="20" t="n">
        <v>847</v>
      </c>
      <c r="D9" s="20" t="n">
        <v>1905.4</v>
      </c>
    </row>
    <row r="10" customFormat="false" ht="15" hidden="false" customHeight="false" outlineLevel="0" collapsed="false">
      <c r="A10" s="0" t="s">
        <v>268</v>
      </c>
      <c r="D10" s="24" t="n">
        <f aca="false">D8/C8-1</f>
        <v>0.795353366722315</v>
      </c>
    </row>
    <row r="12" customFormat="false" ht="15" hidden="false" customHeight="false" outlineLevel="0" collapsed="false">
      <c r="A12" s="0" t="s">
        <v>269</v>
      </c>
      <c r="B12" s="50" t="n">
        <v>3.4</v>
      </c>
    </row>
    <row r="13" customFormat="false" ht="15" hidden="false" customHeight="false" outlineLevel="0" collapsed="false">
      <c r="A13" s="0" t="s">
        <v>270</v>
      </c>
      <c r="B13" s="50" t="n">
        <v>8.4</v>
      </c>
    </row>
    <row r="15" customFormat="false" ht="15" hidden="false" customHeight="false" outlineLevel="0" collapsed="false">
      <c r="A15" s="11" t="s">
        <v>271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13"/>
    <col collapsed="false" customWidth="true" hidden="false" outlineLevel="0" max="4" min="4" style="0" width="76"/>
  </cols>
  <sheetData>
    <row r="1" customFormat="false" ht="15" hidden="false" customHeight="false" outlineLevel="0" collapsed="false">
      <c r="A1" s="1" t="s">
        <v>272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273</v>
      </c>
      <c r="B4" s="4" t="s">
        <v>274</v>
      </c>
      <c r="C4" s="4" t="s">
        <v>275</v>
      </c>
      <c r="D4" s="4" t="s">
        <v>276</v>
      </c>
    </row>
    <row r="5" customFormat="false" ht="15" hidden="false" customHeight="false" outlineLevel="0" collapsed="false">
      <c r="A5" s="5" t="s">
        <v>277</v>
      </c>
      <c r="B5" s="0" t="s">
        <v>278</v>
      </c>
      <c r="C5" s="51" t="n">
        <v>22.38</v>
      </c>
      <c r="D5" s="7" t="s">
        <v>279</v>
      </c>
    </row>
    <row r="6" customFormat="false" ht="15" hidden="false" customHeight="false" outlineLevel="0" collapsed="false">
      <c r="A6" s="22" t="s">
        <v>280</v>
      </c>
      <c r="B6" s="0" t="s">
        <v>281</v>
      </c>
      <c r="C6" s="51" t="n">
        <v>38.53</v>
      </c>
      <c r="D6" s="7" t="s">
        <v>282</v>
      </c>
    </row>
    <row r="7" customFormat="false" ht="15" hidden="false" customHeight="false" outlineLevel="0" collapsed="false">
      <c r="A7" s="22" t="s">
        <v>283</v>
      </c>
      <c r="B7" s="0" t="s">
        <v>284</v>
      </c>
      <c r="C7" s="51" t="n">
        <v>34.76</v>
      </c>
      <c r="D7" s="7" t="s">
        <v>285</v>
      </c>
    </row>
    <row r="8" customFormat="false" ht="15" hidden="false" customHeight="false" outlineLevel="0" collapsed="false">
      <c r="A8" s="22" t="s">
        <v>286</v>
      </c>
      <c r="B8" s="0" t="s">
        <v>287</v>
      </c>
      <c r="C8" s="51" t="n">
        <v>30.81</v>
      </c>
      <c r="D8" s="7" t="s">
        <v>288</v>
      </c>
    </row>
    <row r="9" customFormat="false" ht="15" hidden="false" customHeight="false" outlineLevel="0" collapsed="false">
      <c r="A9" s="22" t="s">
        <v>289</v>
      </c>
      <c r="B9" s="0" t="s">
        <v>290</v>
      </c>
      <c r="C9" s="51" t="n">
        <v>30</v>
      </c>
      <c r="D9" s="7" t="s">
        <v>291</v>
      </c>
    </row>
    <row r="10" customFormat="false" ht="15" hidden="false" customHeight="false" outlineLevel="0" collapsed="false">
      <c r="A10" s="22" t="s">
        <v>292</v>
      </c>
      <c r="B10" s="0" t="s">
        <v>293</v>
      </c>
      <c r="C10" s="51" t="n">
        <v>18.74</v>
      </c>
      <c r="D10" s="7" t="s">
        <v>294</v>
      </c>
    </row>
    <row r="11" customFormat="false" ht="15" hidden="false" customHeight="false" outlineLevel="0" collapsed="false">
      <c r="A11" s="22" t="s">
        <v>295</v>
      </c>
      <c r="B11" s="0" t="s">
        <v>296</v>
      </c>
      <c r="C11" s="51" t="n">
        <v>17.95</v>
      </c>
      <c r="D11" s="7" t="s">
        <v>297</v>
      </c>
    </row>
    <row r="13" customFormat="false" ht="15" hidden="false" customHeight="false" outlineLevel="0" collapsed="false">
      <c r="A13" s="5" t="s">
        <v>298</v>
      </c>
      <c r="C13" s="52" t="n">
        <f aca="false">MEDIAN(C6:C11)</f>
        <v>30.405</v>
      </c>
    </row>
    <row r="14" customFormat="false" ht="15" hidden="false" customHeight="false" outlineLevel="0" collapsed="false">
      <c r="A14" s="5" t="s">
        <v>299</v>
      </c>
      <c r="C14" s="52" t="n">
        <f aca="false">AVERAGE(25.14,26.53,21.26)</f>
        <v>24.31</v>
      </c>
    </row>
    <row r="16" customFormat="false" ht="15" hidden="false" customHeight="false" outlineLevel="0" collapsed="false">
      <c r="A16" s="11" t="s">
        <v>300</v>
      </c>
    </row>
    <row r="17" customFormat="false" ht="15" hidden="false" customHeight="false" outlineLevel="0" collapsed="false">
      <c r="A17" s="11" t="s">
        <v>301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50"/>
  </cols>
  <sheetData>
    <row r="1" customFormat="false" ht="15" hidden="false" customHeight="false" outlineLevel="0" collapsed="false">
      <c r="A1" s="1" t="s">
        <v>302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303</v>
      </c>
      <c r="B4" s="4" t="s">
        <v>304</v>
      </c>
    </row>
    <row r="5" customFormat="false" ht="15" hidden="false" customHeight="false" outlineLevel="0" collapsed="false">
      <c r="A5" s="0" t="n">
        <v>1</v>
      </c>
      <c r="B5" s="7" t="s">
        <v>305</v>
      </c>
    </row>
    <row r="6" customFormat="false" ht="23.85" hidden="false" customHeight="false" outlineLevel="0" collapsed="false">
      <c r="A6" s="0" t="n">
        <v>2</v>
      </c>
      <c r="B6" s="7" t="s">
        <v>306</v>
      </c>
    </row>
    <row r="7" customFormat="false" ht="23.85" hidden="false" customHeight="false" outlineLevel="0" collapsed="false">
      <c r="A7" s="0" t="n">
        <v>3</v>
      </c>
      <c r="B7" s="7" t="s">
        <v>307</v>
      </c>
    </row>
    <row r="8" customFormat="false" ht="15" hidden="false" customHeight="false" outlineLevel="0" collapsed="false">
      <c r="A8" s="0" t="n">
        <v>4</v>
      </c>
      <c r="B8" s="7" t="s">
        <v>308</v>
      </c>
    </row>
    <row r="9" customFormat="false" ht="23.85" hidden="false" customHeight="false" outlineLevel="0" collapsed="false">
      <c r="A9" s="0" t="n">
        <v>5</v>
      </c>
      <c r="B9" s="7" t="s">
        <v>309</v>
      </c>
    </row>
    <row r="10" customFormat="false" ht="15" hidden="false" customHeight="false" outlineLevel="0" collapsed="false">
      <c r="A10" s="0" t="n">
        <v>6</v>
      </c>
      <c r="B10" s="7" t="s">
        <v>310</v>
      </c>
    </row>
    <row r="11" customFormat="false" ht="15" hidden="false" customHeight="false" outlineLevel="0" collapsed="false">
      <c r="A11" s="0" t="n">
        <v>7</v>
      </c>
      <c r="B11" s="7" t="s">
        <v>311</v>
      </c>
    </row>
    <row r="12" customFormat="false" ht="23.85" hidden="false" customHeight="false" outlineLevel="0" collapsed="false">
      <c r="A12" s="0" t="n">
        <v>8</v>
      </c>
      <c r="B12" s="7" t="s">
        <v>312</v>
      </c>
    </row>
    <row r="13" customFormat="false" ht="15" hidden="false" customHeight="false" outlineLevel="0" collapsed="false">
      <c r="A13" s="0" t="n">
        <v>9</v>
      </c>
      <c r="B13" s="7" t="s">
        <v>313</v>
      </c>
    </row>
    <row r="14" customFormat="false" ht="15" hidden="false" customHeight="false" outlineLevel="0" collapsed="false">
      <c r="A14" s="0" t="n">
        <v>10</v>
      </c>
      <c r="B14" s="7" t="s">
        <v>314</v>
      </c>
    </row>
    <row r="15" customFormat="false" ht="15" hidden="false" customHeight="false" outlineLevel="0" collapsed="false">
      <c r="A15" s="0" t="n">
        <v>11</v>
      </c>
      <c r="B15" s="7" t="s">
        <v>315</v>
      </c>
    </row>
    <row r="16" customFormat="false" ht="15" hidden="false" customHeight="false" outlineLevel="0" collapsed="false">
      <c r="A16" s="0" t="n">
        <v>12</v>
      </c>
      <c r="B16" s="7" t="s">
        <v>316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2026-11-02T11:24:50Z</dcterms:created>
  <dc:creator>openpyxl</dc:creator>
  <dc:description/>
  <dc:language>en-GB</dc:language>
  <cp:lastModifiedBy/>
  <dcterms:modified xsi:type="dcterms:W3CDTF">2026-11-02T11:24:50Z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