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SoC" sheetId="3" state="visible" r:id="rId5"/>
    <sheet name="Earnings" sheetId="4" state="visible" r:id="rId6"/>
    <sheet name="Valuation" sheetId="5" state="visible" r:id="rId7"/>
    <sheet name="Scenarios" sheetId="6" state="visible" r:id="rId8"/>
    <sheet name="Sensitivity" sheetId="7" state="visible" r:id="rId9"/>
    <sheet name="Peers" sheetId="8" state="visible" r:id="rId10"/>
    <sheet name="Source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<sst xmlns="http://schemas.openxmlformats.org/spreadsheetml/2006/main" count="392" uniqueCount="300">
  <si>
    <t xml:space="preserve">CLP HOLDINGS LIMITED (HKEX: 0002)  INITIATION MODEL</t>
  </si>
  <si>
    <t xml:space="preserve">Tommy Lau | CLP Holdings Limited (HKEX: 0002) | 2026-11-02 | Personal research, not investment advice.</t>
  </si>
  <si>
    <t xml:space="preserve">Item</t>
  </si>
  <si>
    <t xml:space="preserve">Value</t>
  </si>
  <si>
    <t xml:space="preserve">Note</t>
  </si>
  <si>
    <t xml:space="preserve">Call (Tommy Lau, 2 November 2026)</t>
  </si>
  <si>
    <t xml:space="preserve">LONG at +15% or more, SHORT at -25% or worse, NO CALL between.</t>
  </si>
  <si>
    <t xml:space="preserve">Conviction</t>
  </si>
  <si>
    <t xml:space="preserve">Medium</t>
  </si>
  <si>
    <t xml:space="preserve">Judgement, not formula.</t>
  </si>
  <si>
    <t xml:space="preserve">Base value per share, HK$</t>
  </si>
  <si>
    <t xml:space="preserve">Sum of the parts on 2028E.</t>
  </si>
  <si>
    <t xml:space="preserve">Reference price, HK$</t>
  </si>
  <si>
    <t xml:space="preserve">HKEX close, 2 November 2026.</t>
  </si>
  <si>
    <t xml:space="preserve">Base value against price</t>
  </si>
  <si>
    <t xml:space="preserve">Probability-weighted value, HK$</t>
  </si>
  <si>
    <t xml:space="preserve">25 / 50 / 25 bear / base / bull.</t>
  </si>
  <si>
    <t xml:space="preserve">2028E EPS, HK$</t>
  </si>
  <si>
    <t xml:space="preserve">Operating earnings before fair value movements; my estimate.</t>
  </si>
  <si>
    <t xml:space="preserve">Horizon</t>
  </si>
  <si>
    <t xml:space="preserve">12 months, to October 2027</t>
  </si>
  <si>
    <t xml:space="preserve">Revisit if</t>
  </si>
  <si>
    <t xml:space="preserve">See note</t>
  </si>
  <si>
    <t xml:space="preserve">A price below about HK$68.80, where my base value would sit 15 per cent above it, or Government approval of additions to the Development Plan worth about HK$22 billion of regulated assets by 2028, the amount my sensitivity says a long needs at today's multiple.</t>
  </si>
  <si>
    <t xml:space="preserve">Wrong if</t>
  </si>
  <si>
    <t xml:space="preserve">The shares close above HK$90 or below HK$62 in October 2027, or Hong Kong energy and related operating earnings for 2026 come in below HK$9.8 billion, which would mean the regulated engine is growing more slowly than its asset base.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</si>
  <si>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</si>
  <si>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</si>
  <si>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</si>
  <si>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SoC</t>
  </si>
  <si>
    <t xml:space="preserve">Scheme of Control asset base, net return and Hong Kong earnings, 2023 to 2028E; what HK$1bn of assets is worth.</t>
  </si>
  <si>
    <t xml:space="preserve">Earnings</t>
  </si>
  <si>
    <t xml:space="preserve">Group operating earnings by segment, 2024A to 2028E.</t>
  </si>
  <si>
    <t xml:space="preserve">Valuation</t>
  </si>
  <si>
    <t xml:space="preserve">Sum of the parts, the band, multiples at the price, revisit levels.</t>
  </si>
  <si>
    <t xml:space="preserve">Scenarios</t>
  </si>
  <si>
    <t xml:space="preserve">Bear / base / bull and the probability-weighted value.</t>
  </si>
  <si>
    <t xml:space="preserve">Sensitivity</t>
  </si>
  <si>
    <t xml:space="preserve">Extra regulated assets against the Hong Kong multiple.</t>
  </si>
  <si>
    <t xml:space="preserve">Peers</t>
  </si>
  <si>
    <t xml:space="preserve">Forward P/E, trailing P/E and yield.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</si>
  <si>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</si>
  <si>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</si>
  <si>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</si>
  <si>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2026-11-02_CLPHoldings_Initiation.pdf.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</si>
  <si>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</si>
  <si>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HK$ million unless stated. Year end 31 December.</t>
  </si>
  <si>
    <t xml:space="preserve">Input</t>
  </si>
  <si>
    <t xml:space="preserve">Unit</t>
  </si>
  <si>
    <t xml:space="preserve">Source / note</t>
  </si>
  <si>
    <t xml:space="preserve">MARKET</t>
  </si>
  <si>
    <t xml:space="preserve">Reference share price</t>
  </si>
  <si>
    <t xml:space="preserve">HK$</t>
  </si>
  <si>
    <t xml:space="preserve">HKEX close, 2 November 2026. stockanalysis.com daily history; Yahoo Finance quote page, both read 2 November 2026.</t>
  </si>
  <si>
    <t xml:space="preserve">Highest close of the past year, 21 August 2026</t>
  </si>
  <si>
    <t xml:space="preserve">stockanalysis.com daily history. Intraday high HK$79.80 on 21 and 24 August.</t>
  </si>
  <si>
    <t xml:space="preserve">Close, 31 December 2025</t>
  </si>
  <si>
    <t xml:space="preserve">Yahoo Finance monthly history.</t>
  </si>
  <si>
    <t xml:space="preserve">Shares in issue</t>
  </si>
  <si>
    <t xml:space="preserve">m</t>
  </si>
  <si>
    <t xml:space="preserve">2,526,450,570; quarterly statement of 12 October 2026.</t>
  </si>
  <si>
    <t xml:space="preserve">Cash and cash equivalents, 30 June 2026</t>
  </si>
  <si>
    <t xml:space="preserve">HK$m</t>
  </si>
  <si>
    <t xml:space="preserve">CLP Holdings interim results 2026, 6 August 2026.</t>
  </si>
  <si>
    <t xml:space="preserve">Bank loans and other borrowings, 30 June 2026</t>
  </si>
  <si>
    <t xml:space="preserve">CLP Holdings interim results 2026, 6 August 2026: current 14,628 + non-current 52,015.</t>
  </si>
  <si>
    <t xml:space="preserve">Perpetual capital securities, 31 December 2025</t>
  </si>
  <si>
    <t xml:space="preserve">CLP Holdings annual results announcement 2025, 26 February 2026.</t>
  </si>
  <si>
    <t xml:space="preserve">Dividends per share, 2025</t>
  </si>
  <si>
    <t xml:space="preserve">REPORTED EARNINGS (OPERATING EARNINGS BEFORE FAIR VALUE MOVEMENTS)</t>
  </si>
  <si>
    <t xml:space="preserve">Group, 2024</t>
  </si>
  <si>
    <t xml:space="preserve">Group, 2025</t>
  </si>
  <si>
    <t xml:space="preserve">Group, first half 2025</t>
  </si>
  <si>
    <t xml:space="preserve">Group, first half 2026</t>
  </si>
  <si>
    <t xml:space="preserve">Hong Kong energy business and related, 2024</t>
  </si>
  <si>
    <t xml:space="preserve">CLP Holdings annual results announcement 2025, 26 February 2026: 8,694 + 201.</t>
  </si>
  <si>
    <t xml:space="preserve">Hong Kong energy business and related, 2025</t>
  </si>
  <si>
    <t xml:space="preserve">CLP Holdings annual results announcement 2025, 26 February 2026: 9,312 + 232.</t>
  </si>
  <si>
    <t xml:space="preserve">Hong Kong energy business and related, first half 2026</t>
  </si>
  <si>
    <t xml:space="preserve">CLP Holdings interim results 2026, 6 August 2026: 4,736 + 94; +5.7%.</t>
  </si>
  <si>
    <t xml:space="preserve">Mainland, Australia, India, Taiwan Region and SE Asia, 2025</t>
  </si>
  <si>
    <t xml:space="preserve">CLP Holdings annual results announcement 2025, 26 February 2026: 1,598 + 85 + 221 + 179.</t>
  </si>
  <si>
    <t xml:space="preserve">Other Hong Kong, unallocated finance income and Group expenses, 2025</t>
  </si>
  <si>
    <t xml:space="preserve">CLP Holdings annual results announcement 2025, 26 February 2026: -76 + 44 - 910.</t>
  </si>
  <si>
    <t xml:space="preserve">SCHEME OF CONTROL</t>
  </si>
  <si>
    <t xml:space="preserve">Permitted return on average net fixed assets</t>
  </si>
  <si>
    <t xml:space="preserve">%</t>
  </si>
  <si>
    <t xml:space="preserve">CLP Power Hong Kong offering circular, US$4.5bn MTN programme, 1 April 2026, SoC statements. SoC to 31 December 2033.</t>
  </si>
  <si>
    <t xml:space="preserve">SoC permitted return, 2023</t>
  </si>
  <si>
    <t xml:space="preserve">CLP Power Hong Kong offering circular, US$4.5bn MTN programme, 1 April 2026, SoC statements.</t>
  </si>
  <si>
    <t xml:space="preserve">SoC permitted return, 2024</t>
  </si>
  <si>
    <t xml:space="preserve">SoC permitted return, 2025</t>
  </si>
  <si>
    <t xml:space="preserve">Net return after CESF contribution, 2024</t>
  </si>
  <si>
    <t xml:space="preserve">Net return after CESF contribution, 2025</t>
  </si>
  <si>
    <t xml:space="preserve">CLP Power's share of net return after CESF (CLP Power 100%, CAPCO 70%), 2025</t>
  </si>
  <si>
    <t xml:space="preserve">CLP Power Hong Kong offering circular, US$4.5bn MTN programme, 1 April 2026, SoC statements: 7,081 + 2,268.</t>
  </si>
  <si>
    <t xml:space="preserve">SoC depreciation, 2025</t>
  </si>
  <si>
    <t xml:space="preserve">2024 to 2028 Development Plan capital spending</t>
  </si>
  <si>
    <t xml:space="preserve">Approved November 2023; CLP presentation of 26 February 2026 and offering circular. 72% transmission and distribution.</t>
  </si>
  <si>
    <t xml:space="preserve">SoC capital expenditure, 2024</t>
  </si>
  <si>
    <t xml:space="preserve">CLP Power Hong Kong offering circular, US$4.5bn MTN programme, 1 April 2026: CLP Power 8,010 + CAPCO and other Hong Kong subsidiaries 2,807 + CAPCO's 70% of HKLTL 20.</t>
  </si>
  <si>
    <t xml:space="preserve">SoC capital expenditure, 2025</t>
  </si>
  <si>
    <t xml:space="preserve">CLP Power Hong Kong offering circular, US$4.5bn MTN programme, 1 April 2026: 7,971 + 2,501 + 99.</t>
  </si>
  <si>
    <t xml:space="preserve">Data centres' share of CLP Power sales, nine months 2026</t>
  </si>
  <si>
    <t xml:space="preserve">Quarterly statement, 12 October 2026: +12.8%.</t>
  </si>
  <si>
    <t xml:space="preserve">CONSENSUS (CROSS-CHECK ONLY)</t>
  </si>
  <si>
    <t xml:space="preserve">2026 consensus EPS</t>
  </si>
  <si>
    <t xml:space="preserve">stockanalysis.com (S&amp;P Global), read 2 November 2026, last updated 17 September 2026. Its 2025 figure (4.32) matches operating earnings after fair value movements.</t>
  </si>
  <si>
    <t xml:space="preserve">2027 consensus EPS</t>
  </si>
  <si>
    <t xml:space="preserve">stockanalysis.com, as above.</t>
  </si>
  <si>
    <t xml:space="preserve">Average analyst target</t>
  </si>
  <si>
    <t xml:space="preserve">stockanalysis.com: 9 analysts, low 69.50, high 89.43; targets updated 17 September 2026.</t>
  </si>
  <si>
    <t xml:space="preserve">MY ESTIMATES</t>
  </si>
  <si>
    <t xml:space="preserve">SoC depreciation growth a year</t>
  </si>
  <si>
    <t xml:space="preserve">MY ASSUMPTION.</t>
  </si>
  <si>
    <t xml:space="preserve">Net return after interest and CESF on average net fixed assets, 2026 to 2028</t>
  </si>
  <si>
    <t xml:space="preserve">MY ASSUMPTION. 2025: 7.11% (derived); 2024: 6.85%. Lower interest costs in 2026.</t>
  </si>
  <si>
    <t xml:space="preserve">Chinese Mainland, 2026</t>
  </si>
  <si>
    <t xml:space="preserve">MY ESTIMATE. 2025: 1,598; H1 2026: 899.</t>
  </si>
  <si>
    <t xml:space="preserve">Chinese Mainland, 2027</t>
  </si>
  <si>
    <t xml:space="preserve">MY ESTIMATE.</t>
  </si>
  <si>
    <t xml:space="preserve">Chinese Mainland, 2028</t>
  </si>
  <si>
    <t xml:space="preserve">Australia, 2026</t>
  </si>
  <si>
    <t xml:space="preserve">MY ESTIMATE. 2025: 85; H1 2026: 223; H2 weaker on wholesale prices (Q3 statement).</t>
  </si>
  <si>
    <t xml:space="preserve">Australia, 2027</t>
  </si>
  <si>
    <t xml:space="preserve">Australia, 2028</t>
  </si>
  <si>
    <t xml:space="preserve">MY ESTIMATE. Yallourn retires in 2028.</t>
  </si>
  <si>
    <t xml:space="preserve">India, 2026</t>
  </si>
  <si>
    <t xml:space="preserve">MY ESTIMATE. 2025: 221; H1 2026: 105; Jhajjar sold.</t>
  </si>
  <si>
    <t xml:space="preserve">India, 2027</t>
  </si>
  <si>
    <t xml:space="preserve">India, 2028</t>
  </si>
  <si>
    <t xml:space="preserve">Taiwan Region and SE Asia, 2026</t>
  </si>
  <si>
    <t xml:space="preserve">MY ESTIMATE. 2025: 179; H1 2026: 71.</t>
  </si>
  <si>
    <t xml:space="preserve">Taiwan Region and SE Asia, 2027</t>
  </si>
  <si>
    <t xml:space="preserve">Taiwan Region and SE Asia, 2028</t>
  </si>
  <si>
    <t xml:space="preserve">Group costs and other, 2026</t>
  </si>
  <si>
    <t xml:space="preserve">MY ESTIMATE. 2025: -942; H1 2026: -395.</t>
  </si>
  <si>
    <t xml:space="preserve">Group costs and other, 2027</t>
  </si>
  <si>
    <t xml:space="preserve">Group costs and other, 2028</t>
  </si>
  <si>
    <t xml:space="preserve">Multiple, Hong Kong earnings</t>
  </si>
  <si>
    <t xml:space="preserve">x</t>
  </si>
  <si>
    <t xml:space="preserve">MY ASSUMPTION. HK Electric Investments 16.3x forward (stockanalysis.com).</t>
  </si>
  <si>
    <t xml:space="preserve">Multiple, overseas earnings</t>
  </si>
  <si>
    <t xml:space="preserve">MY ASSUMPTION. No clean listed peer (Power Assets and CKI multiples carry UK Power Networks sale gains). Overseas earnings fell 31% in 2025. At 14x the base value is shown on the Valuation tab.</t>
  </si>
  <si>
    <t xml:space="preserve">Multiple, Group costs and other</t>
  </si>
  <si>
    <t xml:space="preserve">MY ASSUMPTION. Close to the Group multiple.</t>
  </si>
  <si>
    <t xml:space="preserve">SCHEME OF CONTROL: ASSET BASE AND HONG KONG EARNINGS (HK$ MILLION)</t>
  </si>
  <si>
    <t xml:space="preserve">HK$ million</t>
  </si>
  <si>
    <t xml:space="preserve">2023</t>
  </si>
  <si>
    <t xml:space="preserve">2024</t>
  </si>
  <si>
    <t xml:space="preserve">2025</t>
  </si>
  <si>
    <t xml:space="preserve">2026E</t>
  </si>
  <si>
    <t xml:space="preserve">2027E</t>
  </si>
  <si>
    <t xml:space="preserve">2028E</t>
  </si>
  <si>
    <t xml:space="preserve">Permitted return (reported)</t>
  </si>
  <si>
    <t xml:space="preserve">Implied average net fixed assets</t>
  </si>
  <si>
    <t xml:space="preserve">Capital spending (HK segment additions; 2026E+ rest of plan)</t>
  </si>
  <si>
    <t xml:space="preserve">SoC depreciation</t>
  </si>
  <si>
    <t xml:space="preserve">Net return after CESF (reported) / rate (mine)</t>
  </si>
  <si>
    <t xml:space="preserve">Net return after CESF as % of assets</t>
  </si>
  <si>
    <t xml:space="preserve">CLP share of net return</t>
  </si>
  <si>
    <t xml:space="preserve">CLP's share of net return, HK$m</t>
  </si>
  <si>
    <t xml:space="preserve">Other Hong Kong energy and related earnings</t>
  </si>
  <si>
    <t xml:space="preserve">HONG KONG ENERGY AND RELATED EARNINGS</t>
  </si>
  <si>
    <t xml:space="preserve">Growth</t>
  </si>
  <si>
    <t xml:space="preserve">Average net fixed assets, growth a year 2025 to 2028E</t>
  </si>
  <si>
    <t xml:space="preserve">CLP earnings a year per HK$1bn of extra average net fixed assets, HK$m</t>
  </si>
  <si>
    <t xml:space="preserve">Per share, HK$</t>
  </si>
  <si>
    <t xml:space="preserve">Value per share per HK$1bn, at the Hong Kong multiple, HK$</t>
  </si>
  <si>
    <t xml:space="preserve">Extra 2028 assets needed for a base value 15% above the price, HK$bn</t>
  </si>
  <si>
    <t xml:space="preserve">As a share of the whole Development Plan</t>
  </si>
  <si>
    <t xml:space="preserve">Illustration: assets in proportion to data centres' share of sales, HK$bn</t>
  </si>
  <si>
    <t xml:space="preserve">Illustration: earnings per share on those assets, HK$</t>
  </si>
  <si>
    <t xml:space="preserve">Illustration: share of my 2028E EPS</t>
  </si>
  <si>
    <t xml:space="preserve">Permitted return = 8% of average net fixed assets (SoC). Net return = permitted return less interest on borrowed capital (up to 7%; 1,488 in 2025), interest on the increase in customers' deposits (11) and the TSF charge (85), plus performance incentives (526); CESF = 65% of energy efficiency incentives (242).</t>
  </si>
  <si>
    <t xml:space="preserve">Sales above the permitted return go to the Tariff Stabilisation Fund; a shortfall is drawn from it only up to its balance (SCA clause 5(2)). Volume does not move profit directly.</t>
  </si>
  <si>
    <t xml:space="preserve">2026E to 2028E: average net fixed assets roll forward by capital spending less depreciation, a simplification (2025 backtest: 145.7bn against 145.3bn implied).</t>
  </si>
  <si>
    <t xml:space="preserve">CLP does not disclose the capital cost of its data centre substations; rows 23 to 25 are an illustration only.</t>
  </si>
  <si>
    <t xml:space="preserve">GROUP OPERATING EARNINGS BEFORE FAIR VALUE MOVEMENTS (HK$ MILLION)</t>
  </si>
  <si>
    <t xml:space="preserve">2024A</t>
  </si>
  <si>
    <t xml:space="preserve">2025A</t>
  </si>
  <si>
    <t xml:space="preserve">Hong Kong energy and related</t>
  </si>
  <si>
    <t xml:space="preserve">Chinese Mainland</t>
  </si>
  <si>
    <t xml:space="preserve">Australia</t>
  </si>
  <si>
    <t xml:space="preserve">India</t>
  </si>
  <si>
    <t xml:space="preserve">Taiwan Region and SE Asia</t>
  </si>
  <si>
    <t xml:space="preserve">Overseas subtotal</t>
  </si>
  <si>
    <t xml:space="preserve">Group costs and other</t>
  </si>
  <si>
    <t xml:space="preserve">OPERATING EARNINGS BEFORE FAIR VALUE MOVEMENTS</t>
  </si>
  <si>
    <t xml:space="preserve">EPS, HK$</t>
  </si>
  <si>
    <t xml:space="preserve">Consensus EPS, HK$</t>
  </si>
  <si>
    <t xml:space="preserve">Mine against consensus</t>
  </si>
  <si>
    <t xml:space="preserve">Hong Kong share of segment earnings</t>
  </si>
  <si>
    <t xml:space="preserve">Check: 2024 and 2025 sum to reported operating earnings</t>
  </si>
  <si>
    <t xml:space="preserve">Implied second half 2026, HK$m</t>
  </si>
  <si>
    <t xml:space="preserve">Second half 2025, HK$m</t>
  </si>
  <si>
    <t xml:space="preserve">Consensus 2027 against my 2027E</t>
  </si>
  <si>
    <t xml:space="preserve">2024A and 2025A segment figures from the 2025 annual results announcement. 2026E to 2028E are my estimates; Hong Kong links to the SoC tab.</t>
  </si>
  <si>
    <t xml:space="preserve">VALUATION: SUM OF THE PARTS ON 2028E, TWELVE MONTHS OUT</t>
  </si>
  <si>
    <t xml:space="preserve">Part</t>
  </si>
  <si>
    <t xml:space="preserve">2028E earnings</t>
  </si>
  <si>
    <t xml:space="preserve">Multiple</t>
  </si>
  <si>
    <t xml:space="preserve">Value, HK$m</t>
  </si>
  <si>
    <t xml:space="preserve">Overseas</t>
  </si>
  <si>
    <t xml:space="preserve">EQUITY VALUE, HK$m</t>
  </si>
  <si>
    <t xml:space="preserve">BASE VALUE PER SHARE, HK$</t>
  </si>
  <si>
    <t xml:space="preserve">Band: LONG at +15% or more, SHORT at -25% or worse, NO CALL between.</t>
  </si>
  <si>
    <t xml:space="preserve">VIEW ON THE BAND</t>
  </si>
  <si>
    <t xml:space="preserve">Tommy Lau's call, 2 November 2026: NO CALL, Medium conviction.</t>
  </si>
  <si>
    <t xml:space="preserve">Target, HK$</t>
  </si>
  <si>
    <t xml:space="preserve">None (no call)</t>
  </si>
  <si>
    <t xml:space="preserve">None for a no call.</t>
  </si>
  <si>
    <t xml:space="preserve">Implied multiple of 2028E Group EPS</t>
  </si>
  <si>
    <t xml:space="preserve">Market value, HK$bn</t>
  </si>
  <si>
    <t xml:space="preserve">Net debt, HK$m, 30 June 2026</t>
  </si>
  <si>
    <t xml:space="preserve">Excludes perpetual securities.</t>
  </si>
  <si>
    <t xml:space="preserve">Enterprise value incl. perpetuals, HK$bn</t>
  </si>
  <si>
    <t xml:space="preserve">P/E on trailing operating earnings (H2 2025 + H1 2026)</t>
  </si>
  <si>
    <t xml:space="preserve">P/E on 2026E</t>
  </si>
  <si>
    <t xml:space="preserve">P/E on 2027E</t>
  </si>
  <si>
    <t xml:space="preserve">P/E on 2027 consensus</t>
  </si>
  <si>
    <t xml:space="preserve">P/E on 2028E</t>
  </si>
  <si>
    <t xml:space="preserve">Hong Kong multiple implied by the price (other parts at my multiples)</t>
  </si>
  <si>
    <t xml:space="preserve">Price below which the base value is 15% or more above it, HK$</t>
  </si>
  <si>
    <t xml:space="preserve">Revisit level for a long.</t>
  </si>
  <si>
    <t xml:space="preserve">Price above which the base value is 25% or more below it, HK$</t>
  </si>
  <si>
    <t xml:space="preserve">Revisit level for a short.</t>
  </si>
  <si>
    <t xml:space="preserve">Dividend yield on 2025 dividends</t>
  </si>
  <si>
    <t xml:space="preserve">Price change in 2026 to date</t>
  </si>
  <si>
    <t xml:space="preserve">Price against the highest close of the past year</t>
  </si>
  <si>
    <t xml:space="preserve">Average analyst target against price</t>
  </si>
  <si>
    <t xml:space="preserve">Cross-check only.</t>
  </si>
  <si>
    <t xml:space="preserve">Base value with overseas at 14x (alternative), HK$</t>
  </si>
  <si>
    <t xml:space="preserve">Still NO CALL on the band.</t>
  </si>
  <si>
    <t xml:space="preserve">Alternative against price</t>
  </si>
  <si>
    <t xml:space="preserve">THREE CASES, TWELVE MONTHS OUT (SUM OF THE PARTS ON 2028E)</t>
  </si>
  <si>
    <t xml:space="preserve">Case</t>
  </si>
  <si>
    <t xml:space="preserve">Extra assets, HK$bn</t>
  </si>
  <si>
    <t xml:space="preserve">Net return</t>
  </si>
  <si>
    <t xml:space="preserve">Overseas, HK$m</t>
  </si>
  <si>
    <t xml:space="preserve">HK mult</t>
  </si>
  <si>
    <t xml:space="preserve">Overseas mult</t>
  </si>
  <si>
    <t xml:space="preserve">Costs mult</t>
  </si>
  <si>
    <t xml:space="preserve">HK earnings</t>
  </si>
  <si>
    <t xml:space="preserve">2028 EPS</t>
  </si>
  <si>
    <t xml:space="preserve">Value, HK$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</si>
  <si>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</si>
  <si>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</si>
  <si>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</si>
  <si>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</si>
  <si>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</si>
  <si>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</si>
  <si>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Check: base case equals the Valuation tab</t>
  </si>
  <si>
    <t xml:space="preserve">Bear: higher rates cut the net return to 6.95%; EnergyAustralia and Mainland tariffs weaker, overseas HK$1.9bn; 15x, 8x, 13x.</t>
  </si>
  <si>
    <t xml:space="preserve">Base: the approved Development Plan; my estimates.</t>
  </si>
  <si>
    <t xml:space="preserve">Bull: HK$5bn of assets added to the plan for the Northern Metropolis and Sandy Ridge; net return 7.35%; overseas HK$2.6bn; 20x, 11x, 18x.</t>
  </si>
  <si>
    <t xml:space="preserve">VALUE PER SHARE: EXTRA 2028 REGULATED ASSETS AGAINST THE HONG KONG MULTIPLE (HK$)</t>
  </si>
  <si>
    <t xml:space="preserve">Extra assets, HK$bn \ HK multiple</t>
  </si>
  <si>
    <t xml:space="preserve">Cells above the reference price</t>
  </si>
  <si>
    <t xml:space="preserve">of 9</t>
  </si>
  <si>
    <t xml:space="preserve">Cells 15% or more above the price</t>
  </si>
  <si>
    <t xml:space="preserve">Cells 25% or more below the price</t>
  </si>
  <si>
    <t xml:space="preserve">The middle column links to the base Hong Kong multiple. Overseas and Group costs at my base multiples in every cell.</t>
  </si>
  <si>
    <t xml:space="preserve">PEER MULTIPLES (stockanalysis.com, 2 NOVEMBER 2026)</t>
  </si>
  <si>
    <t xml:space="preserve">Company</t>
  </si>
  <si>
    <t xml:space="preserve">HKEX</t>
  </si>
  <si>
    <t xml:space="preserve">Forward P/E</t>
  </si>
  <si>
    <t xml:space="preserve">Trailing P/E</t>
  </si>
  <si>
    <t xml:space="preserve">Yield</t>
  </si>
  <si>
    <t xml:space="preserve">What they run</t>
  </si>
  <si>
    <t xml:space="preserve">CLP Holdings</t>
  </si>
  <si>
    <t xml:space="preserve">0002</t>
  </si>
  <si>
    <t xml:space="preserve">Kowloon and New Territories grid and generation (SoC); Mainland nuclear and renewables; EnergyAustralia; Apraava</t>
  </si>
  <si>
    <t xml:space="preserve">HK Electric Investments</t>
  </si>
  <si>
    <t xml:space="preserve">2638</t>
  </si>
  <si>
    <t xml:space="preserve">Hong Kong Island and Lamma grid and generation (SoC), plan HK$22.0bn</t>
  </si>
  <si>
    <t xml:space="preserve">Power Assets</t>
  </si>
  <si>
    <t xml:space="preserve">0006</t>
  </si>
  <si>
    <t xml:space="preserve">33.37% of HK Electric Investments; overseas regulated networks</t>
  </si>
  <si>
    <t xml:space="preserve">Towngas</t>
  </si>
  <si>
    <t xml:space="preserve">0003</t>
  </si>
  <si>
    <t xml:space="preserve">Hong Kong gas distribution; Mainland city gas</t>
  </si>
  <si>
    <t xml:space="preserve">CK Infrastructure</t>
  </si>
  <si>
    <t xml:space="preserve">1038</t>
  </si>
  <si>
    <t xml:space="preserve">Regulated networks in the UK, Australia and elsewhere</t>
  </si>
  <si>
    <t xml:space="preserve">Peer median: forward P/E excludes Power Assets and CKI (distorted); yield all four</t>
  </si>
  <si>
    <t xml:space="preserve">Multiples only, to set the range. No view on the peers' shares is expressed. Power Assets' H1 2026 profit of HK$14.7bn included a gain of about HK$11.3bn on the UK Power Networks sale (completed May 2026); CKI's multiples carry the same sale, about 21x the 2027 consensus of HK$3.29.</t>
  </si>
  <si>
    <t xml:space="preserve">SOURCES</t>
  </si>
  <si>
    <t xml:space="preserve">No.</t>
  </si>
  <si>
    <t xml:space="preserve">Source and what it supports</t>
  </si>
  <si>
    <t xml:space="preserve">CLP Holdings annual results announcement 2025, 26 February 2026 (HKEX 2026022600152): segment operating earnings, dividends, segment capital additions, data centre sales and substations, shares in issue.</t>
  </si>
  <si>
    <t xml:space="preserve">CLP Holdings 2025 results presentation, 26 February 2026 (HKEX 2026022600162): SoC capex HK$10.6bn, Development Plan HK$52.9bn (72% T&amp;D), six data centres energised and 12 more substations planned by 2028.</t>
  </si>
  <si>
    <t xml:space="preserve">CLP Holdings interim results 2026, 6 August 2026 (HKEX 2026080600235): half-year segment earnings, borrowings and cash, data centre sales, two substations of 260 MVA, eight in the plan period.</t>
  </si>
  <si>
    <t xml:space="preserve">CLP Holdings quarterly statement January to September 2026, 12 October 2026 (HKEX 2026101200581): data centre sales +12.8%, 6.6% of 28,131 GWh; Sandy Ridge from mid-2027; tariff +4.8%; third interim dividend.</t>
  </si>
  <si>
    <t xml:space="preserve">CLP Power Hong Kong offering circular, US$4.5bn MTN programme, 1 April 2026 (HKEX 2026040100797): Scheme of Control terms, SoC statements 2023 to 2025, CAPCO 70%, SoC to 2033, interim reviews, about HK$38bn of T&amp;D.</t>
  </si>
  <si>
    <t xml:space="preserve">CLP Holdings 2023 annual results, 26 February 2024 (HKEX 2024022600164): 'up to 18 large-scale data centres by 2028'.</t>
  </si>
  <si>
    <t xml:space="preserve">LegCo Panel on Environmental Affairs, CLP paper on the 2024 to 2028 Development Plan, 28 November 2023; Government release of 28 November 2023 (HK Electric plan HK$22.0bn).</t>
  </si>
  <si>
    <t xml:space="preserve">Yahoo Finance 0002.HK monthly history page and stockanalysis.com daily history, read 2 November 2026; stockanalysis.com (S&amp;P Global data) for consensus, targets and peer multiples, read 2 November 2026.</t>
  </si>
  <si>
    <t xml:space="preserve">The Physical Layer, 'Hong Kong has the plug: its grid builds to demand, and the chip needs a licence', 2 November 2026: https://thephysicallayer.fyi/journal/hong-kong-has-the-plug/</t>
  </si>
  <si>
    <t xml:space="preserve">Estimates for 2026 to 2028 are the author's own. Personal research, not investment advice.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</si>
</sst>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&quot;HK$&quot;#,##0.00"/>
    <numFmt numFmtId="166" formatCode="0.0%"/>
    <numFmt numFmtId="167" formatCode="#,##0.0"/>
    <numFmt numFmtId="168" formatCode="#,##0"/>
    <numFmt numFmtId="169" formatCode="0.00%"/>
    <numFmt numFmtId="170" formatCode="0\x"/>
    <numFmt numFmtId="171" formatCode="#,##0.00"/>
    <numFmt numFmtId="172" formatCode="0.000"/>
    <numFmt numFmtId="173" formatCode="0%"/>
    <numFmt numFmtId="174" formatCode="0.0\x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1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7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12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1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1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14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24"/>
    <col collapsed="false" customWidth="true" hidden="false" outlineLevel="0" max="3" min="3" style="1" width="100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 t="s">
        <v>3</v>
      </c>
      <c r="C4" s="5" t="s">
        <v>4</v>
      </c>
    </row>
    <row r="5" customFormat="false" ht="15" hidden="false" customHeight="false" outlineLevel="0" collapsed="false">
      <c r="A5" s="6" t="s">
        <v>5</v>
      </c>
      <c r="B5" s="7" t="str">
        <f aca="false">Valuation!B12</f>
        <v>NO CALL</v>
      </c>
      <c r="C5" s="8" t="s">
        <v>6</v>
      </c>
    </row>
    <row r="6" customFormat="false" ht="15" hidden="false" customHeight="false" outlineLevel="0" collapsed="false">
      <c r="A6" s="6" t="s">
        <v>7</v>
      </c>
      <c r="B6" s="9" t="s">
        <v>8</v>
      </c>
      <c r="C6" s="8" t="s">
        <v>9</v>
      </c>
    </row>
    <row r="7" customFormat="false" ht="15" hidden="false" customHeight="false" outlineLevel="0" collapsed="false">
      <c r="A7" s="6" t="s">
        <v>10</v>
      </c>
      <c r="B7" s="10" t="n">
        <f aca="false">Valuation!B9</f>
        <v>79.1004620827724</v>
      </c>
      <c r="C7" s="8" t="s">
        <v>11</v>
      </c>
    </row>
    <row r="8" customFormat="false" ht="15" hidden="false" customHeight="false" outlineLevel="0" collapsed="false">
      <c r="A8" s="6" t="s">
        <v>12</v>
      </c>
      <c r="B8" s="10" t="n">
        <f aca="false">Assumptions!$B$7</f>
        <v>77.75</v>
      </c>
      <c r="C8" s="8" t="s">
        <v>13</v>
      </c>
    </row>
    <row r="9" customFormat="false" ht="15" hidden="false" customHeight="false" outlineLevel="0" collapsed="false">
      <c r="A9" s="6" t="s">
        <v>14</v>
      </c>
      <c r="B9" s="11" t="n">
        <f aca="false">Valuation!B11</f>
        <v>0.0173692872382305</v>
      </c>
      <c r="C9" s="8"/>
    </row>
    <row r="10" customFormat="false" ht="15" hidden="false" customHeight="false" outlineLevel="0" collapsed="false">
      <c r="A10" s="6" t="s">
        <v>15</v>
      </c>
      <c r="B10" s="10" t="n">
        <f aca="false">Scenarios!J11</f>
        <v>78.0517603666222</v>
      </c>
      <c r="C10" s="8" t="s">
        <v>16</v>
      </c>
    </row>
    <row r="11" customFormat="false" ht="15" hidden="false" customHeight="false" outlineLevel="0" collapsed="false">
      <c r="A11" s="6" t="s">
        <v>17</v>
      </c>
      <c r="B11" s="10" t="n">
        <f aca="false">Earnings!F14</f>
        <v>4.77488963490528</v>
      </c>
      <c r="C11" s="8" t="s">
        <v>18</v>
      </c>
    </row>
    <row r="12" customFormat="false" ht="15" hidden="false" customHeight="false" outlineLevel="0" collapsed="false">
      <c r="A12" s="6" t="s">
        <v>19</v>
      </c>
      <c r="B12" s="9" t="s">
        <v>20</v>
      </c>
      <c r="C12" s="8"/>
    </row>
    <row r="13" customFormat="false" ht="43.5" hidden="false" customHeight="true" outlineLevel="0" collapsed="false">
      <c r="A13" s="6" t="s">
        <v>21</v>
      </c>
      <c r="B13" s="9" t="s">
        <v>22</v>
      </c>
      <c r="C13" s="8" t="s">
        <v>23</v>
      </c>
    </row>
    <row r="14" customFormat="false" ht="43.5" hidden="false" customHeight="true" outlineLevel="0" collapsed="false">
      <c r="A14" s="6" t="s">
        <v>24</v>
      </c>
      <c r="B14" s="9" t="s">
        <v>22</v>
      </c>
      <c r="C14" s="8" t="s">
        <v>25</v>
      </c>
    </row>
    <row r="17" customFormat="false" ht="15" hidden="false" customHeight="false" outlineLevel="0" collapsed="false">
      <c r="A17" s="12" t="s">
        <v>26</v>
      </c>
    </row>
    <row r="18" customFormat="false" ht="15" hidden="false" customHeight="false" outlineLevel="0" collapsed="false">
      <c r="A18" s="1" t="s">
        <v>27</v>
      </c>
      <c r="B18" s="1" t="s">
        <v>28</v>
      </c>
    </row>
    <row r="19" customFormat="false" ht="15" hidden="false" customHeight="false" outlineLevel="0" collapsed="false">
      <c r="A19" s="1" t="s">
        <v>29</v>
      </c>
      <c r="B19" s="1" t="s">
        <v>30</v>
      </c>
    </row>
    <row r="20" customFormat="false" ht="15" hidden="false" customHeight="false" outlineLevel="0" collapsed="false">
      <c r="A20" s="1" t="s">
        <v>31</v>
      </c>
      <c r="B20" s="1" t="s">
        <v>32</v>
      </c>
    </row>
    <row r="21" customFormat="false" ht="15" hidden="false" customHeight="false" outlineLevel="0" collapsed="false">
      <c r="A21" s="1" t="s">
        <v>33</v>
      </c>
      <c r="B21" s="1" t="s">
        <v>34</v>
      </c>
    </row>
    <row r="22" customFormat="false" ht="15" hidden="false" customHeight="false" outlineLevel="0" collapsed="false">
      <c r="A22" s="1" t="s">
        <v>35</v>
      </c>
      <c r="B22" s="1" t="s">
        <v>36</v>
      </c>
    </row>
    <row r="23" customFormat="false" ht="15" hidden="false" customHeight="false" outlineLevel="0" collapsed="false">
      <c r="A23" s="1" t="s">
        <v>37</v>
      </c>
      <c r="B23" s="1" t="s">
        <v>38</v>
      </c>
    </row>
    <row r="24" customFormat="false" ht="15" hidden="false" customHeight="false" outlineLevel="0" collapsed="false">
      <c r="A24" s="1" t="s">
        <v>39</v>
      </c>
      <c r="B24" s="1" t="s">
        <v>40</v>
      </c>
    </row>
    <row r="25" customFormat="false" ht="15" hidden="false" customHeight="false" outlineLevel="0" collapsed="false">
      <c r="A25" s="1" t="s">
        <v>41</v>
      </c>
      <c r="B25" s="1" t="s">
        <v>42</v>
      </c>
    </row>
    <row r="27" customFormat="false" ht="15" hidden="false" customHeight="false" outlineLevel="0" collapsed="false">
      <c r="A27" s="13" t="s">
        <v>43</v>
      </c>
    </row>
    <row r="28" customFormat="false" ht="15" hidden="false" customHeight="false" outlineLevel="0" collapsed="false">
      <c r="A28" s="13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6"/>
    <col collapsed="false" customWidth="true" hidden="false" outlineLevel="0" max="2" min="2" style="1" width="14"/>
    <col collapsed="false" customWidth="true" hidden="false" outlineLevel="0" max="3" min="3" style="1" width="10"/>
    <col collapsed="false" customWidth="true" hidden="false" outlineLevel="0" max="4" min="4" style="1" width="110"/>
  </cols>
  <sheetData>
    <row r="1" customFormat="false" ht="15" hidden="false" customHeight="false" outlineLevel="0" collapsed="false">
      <c r="A1" s="2" t="s">
        <v>45</v>
      </c>
    </row>
    <row r="2" customFormat="false" ht="15" hidden="false" customHeight="false" outlineLevel="0" collapsed="false">
      <c r="A2" s="3" t="s">
        <v>1</v>
      </c>
    </row>
    <row r="3" customFormat="false" ht="15" hidden="false" customHeight="false" outlineLevel="0" collapsed="false">
      <c r="A3" s="13" t="s">
        <v>46</v>
      </c>
    </row>
    <row r="5" customFormat="false" ht="15" hidden="false" customHeight="false" outlineLevel="0" collapsed="false">
      <c r="A5" s="4" t="s">
        <v>47</v>
      </c>
      <c r="B5" s="5" t="s">
        <v>3</v>
      </c>
      <c r="C5" s="5" t="s">
        <v>48</v>
      </c>
      <c r="D5" s="5" t="s">
        <v>49</v>
      </c>
    </row>
    <row r="6" customFormat="false" ht="15" hidden="false" customHeight="false" outlineLevel="0" collapsed="false">
      <c r="A6" s="12" t="s">
        <v>50</v>
      </c>
    </row>
    <row r="7" customFormat="false" ht="15" hidden="false" customHeight="false" outlineLevel="0" collapsed="false">
      <c r="A7" s="1" t="s">
        <v>51</v>
      </c>
      <c r="B7" s="14" t="n">
        <v>77.75</v>
      </c>
      <c r="C7" s="1" t="s">
        <v>52</v>
      </c>
      <c r="D7" s="8" t="s">
        <v>53</v>
      </c>
    </row>
    <row r="8" customFormat="false" ht="15" hidden="false" customHeight="false" outlineLevel="0" collapsed="false">
      <c r="A8" s="1" t="s">
        <v>54</v>
      </c>
      <c r="B8" s="14" t="n">
        <v>79.8</v>
      </c>
      <c r="C8" s="1" t="s">
        <v>52</v>
      </c>
      <c r="D8" s="8" t="s">
        <v>55</v>
      </c>
    </row>
    <row r="9" customFormat="false" ht="15" hidden="false" customHeight="false" outlineLevel="0" collapsed="false">
      <c r="A9" s="1" t="s">
        <v>56</v>
      </c>
      <c r="B9" s="14" t="n">
        <v>69.4</v>
      </c>
      <c r="C9" s="1" t="s">
        <v>52</v>
      </c>
      <c r="D9" s="8" t="s">
        <v>57</v>
      </c>
    </row>
    <row r="10" customFormat="false" ht="15" hidden="false" customHeight="false" outlineLevel="0" collapsed="false">
      <c r="A10" s="1" t="s">
        <v>58</v>
      </c>
      <c r="B10" s="15" t="n">
        <v>2526.45057</v>
      </c>
      <c r="C10" s="1" t="s">
        <v>59</v>
      </c>
      <c r="D10" s="8" t="s">
        <v>60</v>
      </c>
    </row>
    <row r="11" customFormat="false" ht="15" hidden="false" customHeight="false" outlineLevel="0" collapsed="false">
      <c r="A11" s="1" t="s">
        <v>61</v>
      </c>
      <c r="B11" s="16" t="n">
        <v>4401</v>
      </c>
      <c r="C11" s="1" t="s">
        <v>62</v>
      </c>
      <c r="D11" s="8" t="s">
        <v>63</v>
      </c>
    </row>
    <row r="12" customFormat="false" ht="15" hidden="false" customHeight="false" outlineLevel="0" collapsed="false">
      <c r="A12" s="1" t="s">
        <v>64</v>
      </c>
      <c r="B12" s="16" t="n">
        <v>66643</v>
      </c>
      <c r="C12" s="1" t="s">
        <v>62</v>
      </c>
      <c r="D12" s="8" t="s">
        <v>65</v>
      </c>
    </row>
    <row r="13" customFormat="false" ht="15" hidden="false" customHeight="false" outlineLevel="0" collapsed="false">
      <c r="A13" s="1" t="s">
        <v>66</v>
      </c>
      <c r="B13" s="16" t="n">
        <v>3872</v>
      </c>
      <c r="C13" s="1" t="s">
        <v>62</v>
      </c>
      <c r="D13" s="8" t="s">
        <v>67</v>
      </c>
    </row>
    <row r="14" customFormat="false" ht="15" hidden="false" customHeight="false" outlineLevel="0" collapsed="false">
      <c r="A14" s="1" t="s">
        <v>68</v>
      </c>
      <c r="B14" s="14" t="n">
        <v>3.2</v>
      </c>
      <c r="C14" s="1" t="s">
        <v>52</v>
      </c>
      <c r="D14" s="8" t="s">
        <v>67</v>
      </c>
    </row>
    <row r="15" customFormat="false" ht="15" hidden="false" customHeight="false" outlineLevel="0" collapsed="false">
      <c r="A15" s="12" t="s">
        <v>69</v>
      </c>
    </row>
    <row r="16" customFormat="false" ht="15" hidden="false" customHeight="false" outlineLevel="0" collapsed="false">
      <c r="A16" s="1" t="s">
        <v>70</v>
      </c>
      <c r="B16" s="16" t="n">
        <v>10949</v>
      </c>
      <c r="C16" s="1" t="s">
        <v>62</v>
      </c>
      <c r="D16" s="8" t="s">
        <v>67</v>
      </c>
    </row>
    <row r="17" customFormat="false" ht="15" hidden="false" customHeight="false" outlineLevel="0" collapsed="false">
      <c r="A17" s="1" t="s">
        <v>71</v>
      </c>
      <c r="B17" s="16" t="n">
        <v>10685</v>
      </c>
      <c r="C17" s="1" t="s">
        <v>62</v>
      </c>
      <c r="D17" s="8" t="s">
        <v>67</v>
      </c>
    </row>
    <row r="18" customFormat="false" ht="15" hidden="false" customHeight="false" outlineLevel="0" collapsed="false">
      <c r="A18" s="1" t="s">
        <v>72</v>
      </c>
      <c r="B18" s="16" t="n">
        <v>5227</v>
      </c>
      <c r="C18" s="1" t="s">
        <v>62</v>
      </c>
      <c r="D18" s="8" t="s">
        <v>63</v>
      </c>
    </row>
    <row r="19" customFormat="false" ht="15" hidden="false" customHeight="false" outlineLevel="0" collapsed="false">
      <c r="A19" s="1" t="s">
        <v>73</v>
      </c>
      <c r="B19" s="16" t="n">
        <v>5733</v>
      </c>
      <c r="C19" s="1" t="s">
        <v>62</v>
      </c>
      <c r="D19" s="8" t="s">
        <v>63</v>
      </c>
    </row>
    <row r="20" customFormat="false" ht="15" hidden="false" customHeight="false" outlineLevel="0" collapsed="false">
      <c r="A20" s="1" t="s">
        <v>74</v>
      </c>
      <c r="B20" s="16" t="n">
        <v>8895</v>
      </c>
      <c r="C20" s="1" t="s">
        <v>62</v>
      </c>
      <c r="D20" s="8" t="s">
        <v>75</v>
      </c>
    </row>
    <row r="21" customFormat="false" ht="15" hidden="false" customHeight="false" outlineLevel="0" collapsed="false">
      <c r="A21" s="1" t="s">
        <v>76</v>
      </c>
      <c r="B21" s="16" t="n">
        <v>9544</v>
      </c>
      <c r="C21" s="1" t="s">
        <v>62</v>
      </c>
      <c r="D21" s="8" t="s">
        <v>77</v>
      </c>
    </row>
    <row r="22" customFormat="false" ht="15" hidden="false" customHeight="false" outlineLevel="0" collapsed="false">
      <c r="A22" s="1" t="s">
        <v>78</v>
      </c>
      <c r="B22" s="16" t="n">
        <v>4830</v>
      </c>
      <c r="C22" s="1" t="s">
        <v>62</v>
      </c>
      <c r="D22" s="8" t="s">
        <v>79</v>
      </c>
    </row>
    <row r="23" customFormat="false" ht="15" hidden="false" customHeight="false" outlineLevel="0" collapsed="false">
      <c r="A23" s="1" t="s">
        <v>80</v>
      </c>
      <c r="B23" s="16" t="n">
        <v>2083</v>
      </c>
      <c r="C23" s="1" t="s">
        <v>62</v>
      </c>
      <c r="D23" s="8" t="s">
        <v>81</v>
      </c>
    </row>
    <row r="24" customFormat="false" ht="15" hidden="false" customHeight="false" outlineLevel="0" collapsed="false">
      <c r="A24" s="1" t="s">
        <v>82</v>
      </c>
      <c r="B24" s="16" t="n">
        <v>-942</v>
      </c>
      <c r="C24" s="1" t="s">
        <v>62</v>
      </c>
      <c r="D24" s="8" t="s">
        <v>83</v>
      </c>
    </row>
    <row r="25" customFormat="false" ht="15" hidden="false" customHeight="false" outlineLevel="0" collapsed="false">
      <c r="A25" s="12" t="s">
        <v>84</v>
      </c>
    </row>
    <row r="26" customFormat="false" ht="15" hidden="false" customHeight="false" outlineLevel="0" collapsed="false">
      <c r="A26" s="1" t="s">
        <v>85</v>
      </c>
      <c r="B26" s="17" t="n">
        <v>0.08</v>
      </c>
      <c r="C26" s="1" t="s">
        <v>86</v>
      </c>
      <c r="D26" s="8" t="s">
        <v>87</v>
      </c>
    </row>
    <row r="27" customFormat="false" ht="15" hidden="false" customHeight="false" outlineLevel="0" collapsed="false">
      <c r="A27" s="1" t="s">
        <v>88</v>
      </c>
      <c r="B27" s="16" t="n">
        <v>10858</v>
      </c>
      <c r="C27" s="1" t="s">
        <v>62</v>
      </c>
      <c r="D27" s="8" t="s">
        <v>89</v>
      </c>
    </row>
    <row r="28" customFormat="false" ht="15" hidden="false" customHeight="false" outlineLevel="0" collapsed="false">
      <c r="A28" s="1" t="s">
        <v>90</v>
      </c>
      <c r="B28" s="16" t="n">
        <v>11271</v>
      </c>
      <c r="C28" s="1" t="s">
        <v>62</v>
      </c>
      <c r="D28" s="8" t="s">
        <v>89</v>
      </c>
    </row>
    <row r="29" customFormat="false" ht="15" hidden="false" customHeight="false" outlineLevel="0" collapsed="false">
      <c r="A29" s="1" t="s">
        <v>91</v>
      </c>
      <c r="B29" s="16" t="n">
        <v>11621</v>
      </c>
      <c r="C29" s="1" t="s">
        <v>62</v>
      </c>
      <c r="D29" s="8" t="s">
        <v>89</v>
      </c>
    </row>
    <row r="30" customFormat="false" ht="15" hidden="false" customHeight="false" outlineLevel="0" collapsed="false">
      <c r="A30" s="1" t="s">
        <v>92</v>
      </c>
      <c r="B30" s="16" t="n">
        <v>9651</v>
      </c>
      <c r="C30" s="1" t="s">
        <v>62</v>
      </c>
      <c r="D30" s="8" t="s">
        <v>89</v>
      </c>
    </row>
    <row r="31" customFormat="false" ht="15" hidden="false" customHeight="false" outlineLevel="0" collapsed="false">
      <c r="A31" s="1" t="s">
        <v>93</v>
      </c>
      <c r="B31" s="16" t="n">
        <v>10321</v>
      </c>
      <c r="C31" s="1" t="s">
        <v>62</v>
      </c>
      <c r="D31" s="8" t="s">
        <v>89</v>
      </c>
    </row>
    <row r="32" customFormat="false" ht="15" hidden="false" customHeight="false" outlineLevel="0" collapsed="false">
      <c r="A32" s="1" t="s">
        <v>94</v>
      </c>
      <c r="B32" s="16" t="n">
        <v>9349</v>
      </c>
      <c r="C32" s="1" t="s">
        <v>62</v>
      </c>
      <c r="D32" s="8" t="s">
        <v>95</v>
      </c>
    </row>
    <row r="33" customFormat="false" ht="15" hidden="false" customHeight="false" outlineLevel="0" collapsed="false">
      <c r="A33" s="1" t="s">
        <v>96</v>
      </c>
      <c r="B33" s="16" t="n">
        <v>5832</v>
      </c>
      <c r="C33" s="1" t="s">
        <v>62</v>
      </c>
      <c r="D33" s="8" t="s">
        <v>89</v>
      </c>
    </row>
    <row r="34" customFormat="false" ht="15" hidden="false" customHeight="false" outlineLevel="0" collapsed="false">
      <c r="A34" s="1" t="s">
        <v>97</v>
      </c>
      <c r="B34" s="16" t="n">
        <v>52900</v>
      </c>
      <c r="C34" s="1" t="s">
        <v>62</v>
      </c>
      <c r="D34" s="8" t="s">
        <v>98</v>
      </c>
    </row>
    <row r="35" customFormat="false" ht="23.85" hidden="false" customHeight="false" outlineLevel="0" collapsed="false">
      <c r="A35" s="1" t="s">
        <v>99</v>
      </c>
      <c r="B35" s="16" t="n">
        <v>10837</v>
      </c>
      <c r="C35" s="1" t="s">
        <v>62</v>
      </c>
      <c r="D35" s="8" t="s">
        <v>100</v>
      </c>
    </row>
    <row r="36" customFormat="false" ht="15" hidden="false" customHeight="false" outlineLevel="0" collapsed="false">
      <c r="A36" s="1" t="s">
        <v>101</v>
      </c>
      <c r="B36" s="16" t="n">
        <v>10571</v>
      </c>
      <c r="C36" s="1" t="s">
        <v>62</v>
      </c>
      <c r="D36" s="8" t="s">
        <v>102</v>
      </c>
    </row>
    <row r="37" customFormat="false" ht="15" hidden="false" customHeight="false" outlineLevel="0" collapsed="false">
      <c r="A37" s="1" t="s">
        <v>103</v>
      </c>
      <c r="B37" s="17" t="n">
        <v>0.066</v>
      </c>
      <c r="C37" s="1" t="s">
        <v>86</v>
      </c>
      <c r="D37" s="8" t="s">
        <v>104</v>
      </c>
    </row>
    <row r="38" customFormat="false" ht="15" hidden="false" customHeight="false" outlineLevel="0" collapsed="false">
      <c r="A38" s="12" t="s">
        <v>105</v>
      </c>
    </row>
    <row r="39" customFormat="false" ht="23.85" hidden="false" customHeight="false" outlineLevel="0" collapsed="false">
      <c r="A39" s="1" t="s">
        <v>106</v>
      </c>
      <c r="B39" s="14" t="n">
        <v>4.82</v>
      </c>
      <c r="C39" s="1" t="s">
        <v>52</v>
      </c>
      <c r="D39" s="8" t="s">
        <v>107</v>
      </c>
    </row>
    <row r="40" customFormat="false" ht="15" hidden="false" customHeight="false" outlineLevel="0" collapsed="false">
      <c r="A40" s="1" t="s">
        <v>108</v>
      </c>
      <c r="B40" s="14" t="n">
        <v>4.95</v>
      </c>
      <c r="C40" s="1" t="s">
        <v>52</v>
      </c>
      <c r="D40" s="8" t="s">
        <v>109</v>
      </c>
    </row>
    <row r="41" customFormat="false" ht="15" hidden="false" customHeight="false" outlineLevel="0" collapsed="false">
      <c r="A41" s="1" t="s">
        <v>110</v>
      </c>
      <c r="B41" s="14" t="n">
        <v>79.6</v>
      </c>
      <c r="C41" s="1" t="s">
        <v>52</v>
      </c>
      <c r="D41" s="8" t="s">
        <v>111</v>
      </c>
    </row>
    <row r="42" customFormat="false" ht="15" hidden="false" customHeight="false" outlineLevel="0" collapsed="false">
      <c r="A42" s="12" t="s">
        <v>112</v>
      </c>
    </row>
    <row r="43" customFormat="false" ht="15" hidden="false" customHeight="false" outlineLevel="0" collapsed="false">
      <c r="A43" s="1" t="s">
        <v>113</v>
      </c>
      <c r="B43" s="18" t="n">
        <v>0.03</v>
      </c>
      <c r="C43" s="1" t="s">
        <v>86</v>
      </c>
      <c r="D43" s="8" t="s">
        <v>114</v>
      </c>
    </row>
    <row r="44" customFormat="false" ht="15" hidden="false" customHeight="false" outlineLevel="0" collapsed="false">
      <c r="A44" s="1" t="s">
        <v>115</v>
      </c>
      <c r="B44" s="19" t="n">
        <v>0.0725</v>
      </c>
      <c r="C44" s="1" t="s">
        <v>86</v>
      </c>
      <c r="D44" s="8" t="s">
        <v>116</v>
      </c>
    </row>
    <row r="45" customFormat="false" ht="15" hidden="false" customHeight="false" outlineLevel="0" collapsed="false">
      <c r="A45" s="1" t="s">
        <v>117</v>
      </c>
      <c r="B45" s="20" t="n">
        <v>1650</v>
      </c>
      <c r="C45" s="1" t="s">
        <v>62</v>
      </c>
      <c r="D45" s="8" t="s">
        <v>118</v>
      </c>
    </row>
    <row r="46" customFormat="false" ht="15" hidden="false" customHeight="false" outlineLevel="0" collapsed="false">
      <c r="A46" s="1" t="s">
        <v>119</v>
      </c>
      <c r="B46" s="20" t="n">
        <v>1700</v>
      </c>
      <c r="C46" s="1" t="s">
        <v>62</v>
      </c>
      <c r="D46" s="8" t="s">
        <v>120</v>
      </c>
    </row>
    <row r="47" customFormat="false" ht="15" hidden="false" customHeight="false" outlineLevel="0" collapsed="false">
      <c r="A47" s="1" t="s">
        <v>121</v>
      </c>
      <c r="B47" s="20" t="n">
        <v>1750</v>
      </c>
      <c r="C47" s="1" t="s">
        <v>62</v>
      </c>
      <c r="D47" s="8" t="s">
        <v>120</v>
      </c>
    </row>
    <row r="48" customFormat="false" ht="15" hidden="false" customHeight="false" outlineLevel="0" collapsed="false">
      <c r="A48" s="1" t="s">
        <v>122</v>
      </c>
      <c r="B48" s="20" t="n">
        <v>220</v>
      </c>
      <c r="C48" s="1" t="s">
        <v>62</v>
      </c>
      <c r="D48" s="8" t="s">
        <v>123</v>
      </c>
    </row>
    <row r="49" customFormat="false" ht="15" hidden="false" customHeight="false" outlineLevel="0" collapsed="false">
      <c r="A49" s="1" t="s">
        <v>124</v>
      </c>
      <c r="B49" s="20" t="n">
        <v>250</v>
      </c>
      <c r="C49" s="1" t="s">
        <v>62</v>
      </c>
      <c r="D49" s="8" t="s">
        <v>120</v>
      </c>
    </row>
    <row r="50" customFormat="false" ht="15" hidden="false" customHeight="false" outlineLevel="0" collapsed="false">
      <c r="A50" s="1" t="s">
        <v>125</v>
      </c>
      <c r="B50" s="20" t="n">
        <v>200</v>
      </c>
      <c r="C50" s="1" t="s">
        <v>62</v>
      </c>
      <c r="D50" s="8" t="s">
        <v>126</v>
      </c>
    </row>
    <row r="51" customFormat="false" ht="15" hidden="false" customHeight="false" outlineLevel="0" collapsed="false">
      <c r="A51" s="1" t="s">
        <v>127</v>
      </c>
      <c r="B51" s="20" t="n">
        <v>200</v>
      </c>
      <c r="C51" s="1" t="s">
        <v>62</v>
      </c>
      <c r="D51" s="8" t="s">
        <v>128</v>
      </c>
    </row>
    <row r="52" customFormat="false" ht="15" hidden="false" customHeight="false" outlineLevel="0" collapsed="false">
      <c r="A52" s="1" t="s">
        <v>129</v>
      </c>
      <c r="B52" s="20" t="n">
        <v>220</v>
      </c>
      <c r="C52" s="1" t="s">
        <v>62</v>
      </c>
      <c r="D52" s="8" t="s">
        <v>120</v>
      </c>
    </row>
    <row r="53" customFormat="false" ht="15" hidden="false" customHeight="false" outlineLevel="0" collapsed="false">
      <c r="A53" s="1" t="s">
        <v>130</v>
      </c>
      <c r="B53" s="20" t="n">
        <v>240</v>
      </c>
      <c r="C53" s="1" t="s">
        <v>62</v>
      </c>
      <c r="D53" s="8" t="s">
        <v>120</v>
      </c>
    </row>
    <row r="54" customFormat="false" ht="15" hidden="false" customHeight="false" outlineLevel="0" collapsed="false">
      <c r="A54" s="1" t="s">
        <v>131</v>
      </c>
      <c r="B54" s="20" t="n">
        <v>200</v>
      </c>
      <c r="C54" s="1" t="s">
        <v>62</v>
      </c>
      <c r="D54" s="8" t="s">
        <v>132</v>
      </c>
    </row>
    <row r="55" customFormat="false" ht="15" hidden="false" customHeight="false" outlineLevel="0" collapsed="false">
      <c r="A55" s="1" t="s">
        <v>133</v>
      </c>
      <c r="B55" s="20" t="n">
        <v>200</v>
      </c>
      <c r="C55" s="1" t="s">
        <v>62</v>
      </c>
      <c r="D55" s="8" t="s">
        <v>120</v>
      </c>
    </row>
    <row r="56" customFormat="false" ht="15" hidden="false" customHeight="false" outlineLevel="0" collapsed="false">
      <c r="A56" s="1" t="s">
        <v>134</v>
      </c>
      <c r="B56" s="20" t="n">
        <v>200</v>
      </c>
      <c r="C56" s="1" t="s">
        <v>62</v>
      </c>
      <c r="D56" s="8" t="s">
        <v>120</v>
      </c>
    </row>
    <row r="57" customFormat="false" ht="15" hidden="false" customHeight="false" outlineLevel="0" collapsed="false">
      <c r="A57" s="1" t="s">
        <v>135</v>
      </c>
      <c r="B57" s="20" t="n">
        <v>-840</v>
      </c>
      <c r="C57" s="1" t="s">
        <v>62</v>
      </c>
      <c r="D57" s="8" t="s">
        <v>136</v>
      </c>
    </row>
    <row r="58" customFormat="false" ht="15" hidden="false" customHeight="false" outlineLevel="0" collapsed="false">
      <c r="A58" s="1" t="s">
        <v>137</v>
      </c>
      <c r="B58" s="20" t="n">
        <v>-890</v>
      </c>
      <c r="C58" s="1" t="s">
        <v>62</v>
      </c>
      <c r="D58" s="8" t="s">
        <v>120</v>
      </c>
    </row>
    <row r="59" customFormat="false" ht="15" hidden="false" customHeight="false" outlineLevel="0" collapsed="false">
      <c r="A59" s="1" t="s">
        <v>138</v>
      </c>
      <c r="B59" s="20" t="n">
        <v>-910</v>
      </c>
      <c r="C59" s="1" t="s">
        <v>62</v>
      </c>
      <c r="D59" s="8" t="s">
        <v>120</v>
      </c>
    </row>
    <row r="60" customFormat="false" ht="15" hidden="false" customHeight="false" outlineLevel="0" collapsed="false">
      <c r="A60" s="1" t="s">
        <v>139</v>
      </c>
      <c r="B60" s="21" t="n">
        <v>18</v>
      </c>
      <c r="C60" s="1" t="s">
        <v>140</v>
      </c>
      <c r="D60" s="8" t="s">
        <v>141</v>
      </c>
    </row>
    <row r="61" customFormat="false" ht="23.85" hidden="false" customHeight="false" outlineLevel="0" collapsed="false">
      <c r="A61" s="1" t="s">
        <v>142</v>
      </c>
      <c r="B61" s="21" t="n">
        <v>10</v>
      </c>
      <c r="C61" s="1" t="s">
        <v>140</v>
      </c>
      <c r="D61" s="8" t="s">
        <v>143</v>
      </c>
    </row>
    <row r="62" customFormat="false" ht="15" hidden="false" customHeight="false" outlineLevel="0" collapsed="false">
      <c r="A62" s="1" t="s">
        <v>144</v>
      </c>
      <c r="B62" s="21" t="n">
        <v>16</v>
      </c>
      <c r="C62" s="1" t="s">
        <v>140</v>
      </c>
      <c r="D62" s="8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2"/>
    <col collapsed="false" customWidth="true" hidden="false" outlineLevel="0" max="7" min="2" style="1" width="14"/>
  </cols>
  <sheetData>
    <row r="1" customFormat="false" ht="15" hidden="false" customHeight="false" outlineLevel="0" collapsed="false">
      <c r="A1" s="2" t="s">
        <v>146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147</v>
      </c>
      <c r="B4" s="5" t="s">
        <v>148</v>
      </c>
      <c r="C4" s="5" t="s">
        <v>149</v>
      </c>
      <c r="D4" s="5" t="s">
        <v>150</v>
      </c>
      <c r="E4" s="5" t="s">
        <v>151</v>
      </c>
      <c r="F4" s="5" t="s">
        <v>152</v>
      </c>
      <c r="G4" s="5" t="s">
        <v>153</v>
      </c>
    </row>
    <row r="5" customFormat="false" ht="15" hidden="false" customHeight="false" outlineLevel="0" collapsed="false">
      <c r="A5" s="22" t="s">
        <v>154</v>
      </c>
      <c r="B5" s="23" t="n">
        <f aca="false">Assumptions!$B$27</f>
        <v>10858</v>
      </c>
      <c r="C5" s="23" t="n">
        <f aca="false">Assumptions!$B$28</f>
        <v>11271</v>
      </c>
      <c r="D5" s="23" t="n">
        <f aca="false">Assumptions!$B$29</f>
        <v>11621</v>
      </c>
    </row>
    <row r="6" customFormat="false" ht="15" hidden="false" customHeight="false" outlineLevel="0" collapsed="false">
      <c r="A6" s="6" t="s">
        <v>155</v>
      </c>
      <c r="B6" s="24" t="n">
        <f aca="false">B5/Assumptions!$B$26</f>
        <v>135725</v>
      </c>
      <c r="C6" s="24" t="n">
        <f aca="false">C5/Assumptions!$B$26</f>
        <v>140887.5</v>
      </c>
      <c r="D6" s="24" t="n">
        <f aca="false">D5/Assumptions!$B$26</f>
        <v>145262.5</v>
      </c>
      <c r="E6" s="25" t="n">
        <f aca="false">D6+E7-E8</f>
        <v>149752.873333333</v>
      </c>
      <c r="F6" s="25" t="n">
        <f aca="false">E6+F7-F8</f>
        <v>154063.037866667</v>
      </c>
      <c r="G6" s="25" t="n">
        <f aca="false">F6+G7-G8</f>
        <v>158187.587336</v>
      </c>
    </row>
    <row r="7" customFormat="false" ht="15" hidden="false" customHeight="false" outlineLevel="0" collapsed="false">
      <c r="A7" s="22" t="s">
        <v>156</v>
      </c>
      <c r="C7" s="23" t="n">
        <f aca="false">Assumptions!$B$35</f>
        <v>10837</v>
      </c>
      <c r="D7" s="23" t="n">
        <f aca="false">Assumptions!$B$36</f>
        <v>10571</v>
      </c>
      <c r="E7" s="24" t="n">
        <f aca="false">(Assumptions!$B$34-Assumptions!$B$35-Assumptions!$B$36)/3</f>
        <v>10497.3333333333</v>
      </c>
      <c r="F7" s="24" t="n">
        <f aca="false">(Assumptions!$B$34-Assumptions!$B$35-Assumptions!$B$36)/3</f>
        <v>10497.3333333333</v>
      </c>
      <c r="G7" s="24" t="n">
        <f aca="false">(Assumptions!$B$34-Assumptions!$B$35-Assumptions!$B$36)/3</f>
        <v>10497.3333333333</v>
      </c>
    </row>
    <row r="8" customFormat="false" ht="15" hidden="false" customHeight="false" outlineLevel="0" collapsed="false">
      <c r="A8" s="22" t="s">
        <v>157</v>
      </c>
      <c r="D8" s="23" t="n">
        <f aca="false">Assumptions!$B$33</f>
        <v>5832</v>
      </c>
      <c r="E8" s="24" t="n">
        <f aca="false">D8*(1+Assumptions!$B$43)</f>
        <v>6006.96</v>
      </c>
      <c r="F8" s="24" t="n">
        <f aca="false">E8*(1+Assumptions!$B$43)</f>
        <v>6187.1688</v>
      </c>
      <c r="G8" s="24" t="n">
        <f aca="false">F8*(1+Assumptions!$B$43)</f>
        <v>6372.783864</v>
      </c>
    </row>
    <row r="9" customFormat="false" ht="15" hidden="false" customHeight="false" outlineLevel="0" collapsed="false">
      <c r="A9" s="22" t="s">
        <v>158</v>
      </c>
      <c r="C9" s="23" t="n">
        <f aca="false">Assumptions!$B$30</f>
        <v>9651</v>
      </c>
      <c r="D9" s="23" t="n">
        <f aca="false">Assumptions!$B$31</f>
        <v>10321</v>
      </c>
    </row>
    <row r="10" customFormat="false" ht="15" hidden="false" customHeight="false" outlineLevel="0" collapsed="false">
      <c r="A10" s="22" t="s">
        <v>159</v>
      </c>
      <c r="C10" s="26" t="n">
        <f aca="false">C9/C6</f>
        <v>0.0685014639339899</v>
      </c>
      <c r="D10" s="26" t="n">
        <f aca="false">D9/D6</f>
        <v>0.0710506841063592</v>
      </c>
      <c r="E10" s="27" t="n">
        <f aca="false">Assumptions!$B$44</f>
        <v>0.0725</v>
      </c>
      <c r="F10" s="27" t="n">
        <f aca="false">Assumptions!$B$44</f>
        <v>0.0725</v>
      </c>
      <c r="G10" s="27" t="n">
        <f aca="false">Assumptions!$B$44</f>
        <v>0.0725</v>
      </c>
    </row>
    <row r="11" customFormat="false" ht="15" hidden="false" customHeight="false" outlineLevel="0" collapsed="false">
      <c r="A11" s="22" t="s">
        <v>160</v>
      </c>
      <c r="D11" s="11" t="n">
        <f aca="false">Assumptions!$B$32/Assumptions!$B$31</f>
        <v>0.905823079158996</v>
      </c>
      <c r="E11" s="28" t="n">
        <f aca="false">$D$11</f>
        <v>0.905823079158996</v>
      </c>
      <c r="F11" s="28" t="n">
        <f aca="false">$D$11</f>
        <v>0.905823079158996</v>
      </c>
      <c r="G11" s="28" t="n">
        <f aca="false">$D$11</f>
        <v>0.905823079158996</v>
      </c>
    </row>
    <row r="12" customFormat="false" ht="15" hidden="false" customHeight="false" outlineLevel="0" collapsed="false">
      <c r="A12" s="22" t="s">
        <v>161</v>
      </c>
      <c r="D12" s="23" t="n">
        <f aca="false">Assumptions!$B$32</f>
        <v>9349</v>
      </c>
      <c r="E12" s="24" t="n">
        <f aca="false">E6*E10*E11</f>
        <v>9834.59664058877</v>
      </c>
      <c r="F12" s="24" t="n">
        <f aca="false">F6*F10*F11</f>
        <v>10117.6545125105</v>
      </c>
      <c r="G12" s="24" t="n">
        <f aca="false">G6*G10*G11</f>
        <v>10388.5226397935</v>
      </c>
    </row>
    <row r="13" customFormat="false" ht="15" hidden="false" customHeight="false" outlineLevel="0" collapsed="false">
      <c r="A13" s="22" t="s">
        <v>162</v>
      </c>
      <c r="D13" s="23" t="n">
        <f aca="false">Assumptions!$B$21-D12</f>
        <v>195</v>
      </c>
      <c r="E13" s="24" t="n">
        <f aca="false">$D$13</f>
        <v>195</v>
      </c>
      <c r="F13" s="24" t="n">
        <f aca="false">$D$13</f>
        <v>195</v>
      </c>
      <c r="G13" s="24" t="n">
        <f aca="false">$D$13</f>
        <v>195</v>
      </c>
    </row>
    <row r="14" customFormat="false" ht="15" hidden="false" customHeight="false" outlineLevel="0" collapsed="false">
      <c r="A14" s="6" t="s">
        <v>163</v>
      </c>
      <c r="C14" s="23" t="n">
        <f aca="false">Assumptions!$B$20</f>
        <v>8895</v>
      </c>
      <c r="D14" s="23" t="n">
        <f aca="false">Assumptions!$B$21</f>
        <v>9544</v>
      </c>
      <c r="E14" s="25" t="n">
        <f aca="false">E12+E13</f>
        <v>10029.5966405888</v>
      </c>
      <c r="F14" s="25" t="n">
        <f aca="false">F12+F13</f>
        <v>10312.6545125105</v>
      </c>
      <c r="G14" s="25" t="n">
        <f aca="false">G12+G13</f>
        <v>10583.5226397935</v>
      </c>
    </row>
    <row r="15" customFormat="false" ht="15" hidden="false" customHeight="false" outlineLevel="0" collapsed="false">
      <c r="A15" s="22" t="s">
        <v>164</v>
      </c>
      <c r="D15" s="28" t="n">
        <f aca="false">D14/C14-1</f>
        <v>0.0729623383923552</v>
      </c>
      <c r="E15" s="28" t="n">
        <f aca="false">E14/D14-1</f>
        <v>0.0508797821237181</v>
      </c>
      <c r="F15" s="28" t="n">
        <f aca="false">F14/E14-1</f>
        <v>0.0282222587871852</v>
      </c>
      <c r="G15" s="28" t="n">
        <f aca="false">G14/F14-1</f>
        <v>0.0262656066829738</v>
      </c>
    </row>
    <row r="17" customFormat="false" ht="15" hidden="false" customHeight="false" outlineLevel="0" collapsed="false">
      <c r="A17" s="1" t="s">
        <v>165</v>
      </c>
      <c r="B17" s="28" t="n">
        <f aca="false">(G6/D6)^(1/3)-1</f>
        <v>0.0288205475211643</v>
      </c>
    </row>
    <row r="18" customFormat="false" ht="15" hidden="false" customHeight="false" outlineLevel="0" collapsed="false">
      <c r="A18" s="1" t="s">
        <v>166</v>
      </c>
      <c r="B18" s="29" t="n">
        <f aca="false">1000*G10*G11</f>
        <v>65.6721732390272</v>
      </c>
    </row>
    <row r="19" customFormat="false" ht="15" hidden="false" customHeight="false" outlineLevel="0" collapsed="false">
      <c r="A19" s="1" t="s">
        <v>167</v>
      </c>
      <c r="B19" s="30" t="n">
        <f aca="false">B18/Assumptions!$B$10</f>
        <v>0.0259938484523872</v>
      </c>
    </row>
    <row r="20" customFormat="false" ht="15" hidden="false" customHeight="false" outlineLevel="0" collapsed="false">
      <c r="A20" s="1" t="s">
        <v>168</v>
      </c>
      <c r="B20" s="30" t="n">
        <f aca="false">B19*Assumptions!$B$60</f>
        <v>0.467889272142969</v>
      </c>
    </row>
    <row r="21" customFormat="false" ht="15" hidden="false" customHeight="false" outlineLevel="0" collapsed="false">
      <c r="A21" s="1" t="s">
        <v>169</v>
      </c>
      <c r="B21" s="31" t="n">
        <f aca="false">(Assumptions!$B$7*1.15-Valuation!B9)/B20</f>
        <v>22.0394835513061</v>
      </c>
    </row>
    <row r="22" customFormat="false" ht="15" hidden="false" customHeight="false" outlineLevel="0" collapsed="false">
      <c r="A22" s="1" t="s">
        <v>170</v>
      </c>
      <c r="B22" s="32" t="n">
        <f aca="false">B21*1000/Assumptions!$B$34</f>
        <v>0.416625397945296</v>
      </c>
    </row>
    <row r="23" customFormat="false" ht="15" hidden="false" customHeight="false" outlineLevel="0" collapsed="false">
      <c r="A23" s="1" t="s">
        <v>171</v>
      </c>
      <c r="B23" s="31" t="n">
        <f aca="false">D6*Assumptions!$B$37/1000</f>
        <v>9.587325</v>
      </c>
    </row>
    <row r="24" customFormat="false" ht="15" hidden="false" customHeight="false" outlineLevel="0" collapsed="false">
      <c r="A24" s="1" t="s">
        <v>172</v>
      </c>
      <c r="B24" s="30" t="n">
        <f aca="false">B23*B19</f>
        <v>0.249211473113783</v>
      </c>
    </row>
    <row r="25" customFormat="false" ht="15" hidden="false" customHeight="false" outlineLevel="0" collapsed="false">
      <c r="A25" s="1" t="s">
        <v>173</v>
      </c>
      <c r="B25" s="28" t="n">
        <f aca="false">B24/Earnings!F14</f>
        <v>0.0521920907432087</v>
      </c>
    </row>
    <row r="27" customFormat="false" ht="15" hidden="false" customHeight="false" outlineLevel="0" collapsed="false">
      <c r="A27" s="13" t="s">
        <v>174</v>
      </c>
    </row>
    <row r="28" customFormat="false" ht="15" hidden="false" customHeight="false" outlineLevel="0" collapsed="false">
      <c r="A28" s="13" t="s">
        <v>175</v>
      </c>
    </row>
    <row r="29" customFormat="false" ht="15" hidden="false" customHeight="false" outlineLevel="0" collapsed="false">
      <c r="A29" s="13" t="s">
        <v>176</v>
      </c>
    </row>
    <row r="30" customFormat="false" ht="15" hidden="false" customHeight="false" outlineLevel="0" collapsed="false">
      <c r="A30" s="13" t="s">
        <v>177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6"/>
    <col collapsed="false" customWidth="true" hidden="false" outlineLevel="0" max="6" min="2" style="1" width="13"/>
  </cols>
  <sheetData>
    <row r="1" customFormat="false" ht="15" hidden="false" customHeight="false" outlineLevel="0" collapsed="false">
      <c r="A1" s="2" t="s">
        <v>178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147</v>
      </c>
      <c r="B4" s="5" t="s">
        <v>179</v>
      </c>
      <c r="C4" s="5" t="s">
        <v>180</v>
      </c>
      <c r="D4" s="5" t="s">
        <v>151</v>
      </c>
      <c r="E4" s="5" t="s">
        <v>152</v>
      </c>
      <c r="F4" s="5" t="s">
        <v>153</v>
      </c>
    </row>
    <row r="5" customFormat="false" ht="15" hidden="false" customHeight="false" outlineLevel="0" collapsed="false">
      <c r="A5" s="22" t="s">
        <v>181</v>
      </c>
      <c r="B5" s="23" t="n">
        <f aca="false">Assumptions!$B$20</f>
        <v>8895</v>
      </c>
      <c r="C5" s="23" t="n">
        <f aca="false">Assumptions!$B$21</f>
        <v>9544</v>
      </c>
      <c r="D5" s="23" t="n">
        <f aca="false">SoC!E14</f>
        <v>10029.5966405888</v>
      </c>
      <c r="E5" s="23" t="n">
        <f aca="false">SoC!F14</f>
        <v>10312.6545125105</v>
      </c>
      <c r="F5" s="23" t="n">
        <f aca="false">SoC!G14</f>
        <v>10583.5226397935</v>
      </c>
    </row>
    <row r="6" customFormat="false" ht="15" hidden="false" customHeight="false" outlineLevel="0" collapsed="false">
      <c r="A6" s="22" t="s">
        <v>182</v>
      </c>
      <c r="B6" s="33" t="n">
        <v>1851</v>
      </c>
      <c r="C6" s="33" t="n">
        <v>1598</v>
      </c>
      <c r="D6" s="23" t="n">
        <f aca="false">Assumptions!$B$45</f>
        <v>1650</v>
      </c>
      <c r="E6" s="23" t="n">
        <f aca="false">Assumptions!$B$46</f>
        <v>1700</v>
      </c>
      <c r="F6" s="23" t="n">
        <f aca="false">Assumptions!$B$47</f>
        <v>1750</v>
      </c>
    </row>
    <row r="7" customFormat="false" ht="15" hidden="false" customHeight="false" outlineLevel="0" collapsed="false">
      <c r="A7" s="22" t="s">
        <v>183</v>
      </c>
      <c r="B7" s="33" t="n">
        <v>591</v>
      </c>
      <c r="C7" s="33" t="n">
        <v>85</v>
      </c>
      <c r="D7" s="23" t="n">
        <f aca="false">Assumptions!$B$48</f>
        <v>220</v>
      </c>
      <c r="E7" s="23" t="n">
        <f aca="false">Assumptions!$B$49</f>
        <v>250</v>
      </c>
      <c r="F7" s="23" t="n">
        <f aca="false">Assumptions!$B$50</f>
        <v>200</v>
      </c>
    </row>
    <row r="8" customFormat="false" ht="15" hidden="false" customHeight="false" outlineLevel="0" collapsed="false">
      <c r="A8" s="22" t="s">
        <v>184</v>
      </c>
      <c r="B8" s="33" t="n">
        <v>329</v>
      </c>
      <c r="C8" s="33" t="n">
        <v>221</v>
      </c>
      <c r="D8" s="23" t="n">
        <f aca="false">Assumptions!$B$51</f>
        <v>200</v>
      </c>
      <c r="E8" s="23" t="n">
        <f aca="false">Assumptions!$B$52</f>
        <v>220</v>
      </c>
      <c r="F8" s="23" t="n">
        <f aca="false">Assumptions!$B$53</f>
        <v>240</v>
      </c>
    </row>
    <row r="9" customFormat="false" ht="15" hidden="false" customHeight="false" outlineLevel="0" collapsed="false">
      <c r="A9" s="22" t="s">
        <v>185</v>
      </c>
      <c r="B9" s="33" t="n">
        <v>260</v>
      </c>
      <c r="C9" s="33" t="n">
        <v>179</v>
      </c>
      <c r="D9" s="23" t="n">
        <f aca="false">Assumptions!$B$54</f>
        <v>200</v>
      </c>
      <c r="E9" s="23" t="n">
        <f aca="false">Assumptions!$B$55</f>
        <v>200</v>
      </c>
      <c r="F9" s="23" t="n">
        <f aca="false">Assumptions!$B$56</f>
        <v>200</v>
      </c>
    </row>
    <row r="10" customFormat="false" ht="15" hidden="false" customHeight="false" outlineLevel="0" collapsed="false">
      <c r="A10" s="22" t="s">
        <v>186</v>
      </c>
      <c r="B10" s="24" t="n">
        <f aca="false">SUM(B6:B9)</f>
        <v>3031</v>
      </c>
      <c r="C10" s="24" t="n">
        <f aca="false">SUM(C6:C9)</f>
        <v>2083</v>
      </c>
      <c r="D10" s="24" t="n">
        <f aca="false">SUM(D6:D9)</f>
        <v>2270</v>
      </c>
      <c r="E10" s="24" t="n">
        <f aca="false">SUM(E6:E9)</f>
        <v>2370</v>
      </c>
      <c r="F10" s="24" t="n">
        <f aca="false">SUM(F6:F9)</f>
        <v>2390</v>
      </c>
    </row>
    <row r="11" customFormat="false" ht="15" hidden="false" customHeight="false" outlineLevel="0" collapsed="false">
      <c r="A11" s="22" t="s">
        <v>187</v>
      </c>
      <c r="B11" s="33" t="n">
        <v>-977</v>
      </c>
      <c r="C11" s="23" t="n">
        <f aca="false">Assumptions!$B$24</f>
        <v>-942</v>
      </c>
      <c r="D11" s="23" t="n">
        <f aca="false">Assumptions!$B$57</f>
        <v>-840</v>
      </c>
      <c r="E11" s="23" t="n">
        <f aca="false">Assumptions!$B$58</f>
        <v>-890</v>
      </c>
      <c r="F11" s="23" t="n">
        <f aca="false">Assumptions!$B$59</f>
        <v>-910</v>
      </c>
    </row>
    <row r="12" customFormat="false" ht="15" hidden="false" customHeight="false" outlineLevel="0" collapsed="false">
      <c r="A12" s="6" t="s">
        <v>188</v>
      </c>
      <c r="B12" s="25" t="n">
        <f aca="false">B5+B10+B11</f>
        <v>10949</v>
      </c>
      <c r="C12" s="25" t="n">
        <f aca="false">C5+C10+C11</f>
        <v>10685</v>
      </c>
      <c r="D12" s="25" t="n">
        <f aca="false">D5+D10+D11</f>
        <v>11459.5966405888</v>
      </c>
      <c r="E12" s="25" t="n">
        <f aca="false">E5+E10+E11</f>
        <v>11792.6545125105</v>
      </c>
      <c r="F12" s="25" t="n">
        <f aca="false">F5+F10+F11</f>
        <v>12063.5226397935</v>
      </c>
    </row>
    <row r="13" customFormat="false" ht="15" hidden="false" customHeight="false" outlineLevel="0" collapsed="false">
      <c r="A13" s="22" t="s">
        <v>164</v>
      </c>
      <c r="C13" s="28" t="n">
        <f aca="false">C12/B12-1</f>
        <v>-0.0241117910311444</v>
      </c>
      <c r="D13" s="28" t="n">
        <f aca="false">D12/C12-1</f>
        <v>0.0724938362741008</v>
      </c>
      <c r="E13" s="28" t="n">
        <f aca="false">E12/D12-1</f>
        <v>0.0290636644872928</v>
      </c>
      <c r="F13" s="28" t="n">
        <f aca="false">F12/E12-1</f>
        <v>0.0229692243587429</v>
      </c>
    </row>
    <row r="14" customFormat="false" ht="15" hidden="false" customHeight="false" outlineLevel="0" collapsed="false">
      <c r="A14" s="6" t="s">
        <v>189</v>
      </c>
      <c r="B14" s="34" t="n">
        <f aca="false">B12/Assumptions!$B$10</f>
        <v>4.33374795850449</v>
      </c>
      <c r="C14" s="34" t="n">
        <f aca="false">C12/Assumptions!$B$10</f>
        <v>4.22925353334738</v>
      </c>
      <c r="D14" s="34" t="n">
        <f aca="false">D12/Assumptions!$B$10</f>
        <v>4.53584834655553</v>
      </c>
      <c r="E14" s="34" t="n">
        <f aca="false">E12/Assumptions!$B$10</f>
        <v>4.66767672106506</v>
      </c>
      <c r="F14" s="34" t="n">
        <f aca="false">F12/Assumptions!$B$10</f>
        <v>4.77488963490528</v>
      </c>
    </row>
    <row r="15" customFormat="false" ht="15" hidden="false" customHeight="false" outlineLevel="0" collapsed="false">
      <c r="A15" s="22" t="s">
        <v>190</v>
      </c>
      <c r="D15" s="10" t="n">
        <f aca="false">Assumptions!$B$39</f>
        <v>4.82</v>
      </c>
      <c r="E15" s="10" t="n">
        <f aca="false">Assumptions!$B$40</f>
        <v>4.95</v>
      </c>
    </row>
    <row r="16" customFormat="false" ht="15" hidden="false" customHeight="false" outlineLevel="0" collapsed="false">
      <c r="A16" s="22" t="s">
        <v>191</v>
      </c>
      <c r="D16" s="28" t="n">
        <f aca="false">D14/D15-1</f>
        <v>-0.058952625195949</v>
      </c>
      <c r="E16" s="28" t="n">
        <f aca="false">E14/E15-1</f>
        <v>-0.057035005845443</v>
      </c>
    </row>
    <row r="17" customFormat="false" ht="15" hidden="false" customHeight="false" outlineLevel="0" collapsed="false">
      <c r="A17" s="22" t="s">
        <v>192</v>
      </c>
      <c r="B17" s="28" t="n">
        <f aca="false">B5/(B5+B10)</f>
        <v>0.745849404662083</v>
      </c>
      <c r="C17" s="28" t="n">
        <f aca="false">C5/(C5+C10)</f>
        <v>0.820848026146039</v>
      </c>
      <c r="D17" s="28" t="n">
        <f aca="false">D5/(D5+D10)</f>
        <v>0.815441102148913</v>
      </c>
      <c r="E17" s="28" t="n">
        <f aca="false">E5/(E5+E10)</f>
        <v>0.813130603087693</v>
      </c>
      <c r="F17" s="28" t="n">
        <f aca="false">F5/(F5+F10)</f>
        <v>0.815778638820178</v>
      </c>
    </row>
    <row r="19" customFormat="false" ht="15" hidden="false" customHeight="false" outlineLevel="0" collapsed="false">
      <c r="A19" s="1" t="s">
        <v>193</v>
      </c>
      <c r="B19" s="24" t="n">
        <f aca="false">B12-Assumptions!$B$16</f>
        <v>0</v>
      </c>
      <c r="C19" s="24" t="n">
        <f aca="false">C12-Assumptions!$B$17</f>
        <v>0</v>
      </c>
    </row>
    <row r="20" customFormat="false" ht="15" hidden="false" customHeight="false" outlineLevel="0" collapsed="false">
      <c r="A20" s="1" t="s">
        <v>194</v>
      </c>
      <c r="D20" s="24" t="n">
        <f aca="false">D12-Assumptions!$B$19</f>
        <v>5726.59664058877</v>
      </c>
    </row>
    <row r="21" customFormat="false" ht="15" hidden="false" customHeight="false" outlineLevel="0" collapsed="false">
      <c r="A21" s="1" t="s">
        <v>195</v>
      </c>
      <c r="D21" s="23" t="n">
        <f aca="false">Assumptions!$B$17-Assumptions!$B$18</f>
        <v>5458</v>
      </c>
    </row>
    <row r="22" customFormat="false" ht="15" hidden="false" customHeight="false" outlineLevel="0" collapsed="false">
      <c r="A22" s="1" t="s">
        <v>196</v>
      </c>
      <c r="B22" s="28" t="n">
        <f aca="false">E15/E14-1</f>
        <v>0.0604847541520661</v>
      </c>
    </row>
    <row r="24" customFormat="false" ht="15" hidden="false" customHeight="false" outlineLevel="0" collapsed="false">
      <c r="A24" s="13" t="s">
        <v>197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4"/>
    <col collapsed="false" customWidth="true" hidden="false" outlineLevel="0" max="4" min="2" style="1" width="16"/>
    <col collapsed="false" customWidth="true" hidden="false" outlineLevel="0" max="5" min="5" style="1" width="60"/>
  </cols>
  <sheetData>
    <row r="1" customFormat="false" ht="15" hidden="false" customHeight="false" outlineLevel="0" collapsed="false">
      <c r="A1" s="2" t="s">
        <v>198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199</v>
      </c>
      <c r="B4" s="5" t="s">
        <v>200</v>
      </c>
      <c r="C4" s="5" t="s">
        <v>201</v>
      </c>
      <c r="D4" s="5" t="s">
        <v>202</v>
      </c>
      <c r="E4" s="5" t="s">
        <v>4</v>
      </c>
    </row>
    <row r="5" customFormat="false" ht="15" hidden="false" customHeight="false" outlineLevel="0" collapsed="false">
      <c r="A5" s="1" t="s">
        <v>181</v>
      </c>
      <c r="B5" s="23" t="n">
        <f aca="false">Earnings!F5</f>
        <v>10583.5226397935</v>
      </c>
      <c r="C5" s="35" t="n">
        <f aca="false">Assumptions!$B$60</f>
        <v>18</v>
      </c>
      <c r="D5" s="24" t="n">
        <f aca="false">B5*C5</f>
        <v>190503.407516284</v>
      </c>
    </row>
    <row r="6" customFormat="false" ht="15" hidden="false" customHeight="false" outlineLevel="0" collapsed="false">
      <c r="A6" s="1" t="s">
        <v>203</v>
      </c>
      <c r="B6" s="23" t="n">
        <f aca="false">Earnings!F10</f>
        <v>2390</v>
      </c>
      <c r="C6" s="35" t="n">
        <f aca="false">Assumptions!$B$61</f>
        <v>10</v>
      </c>
      <c r="D6" s="24" t="n">
        <f aca="false">B6*C6</f>
        <v>23900</v>
      </c>
    </row>
    <row r="7" customFormat="false" ht="15" hidden="false" customHeight="false" outlineLevel="0" collapsed="false">
      <c r="A7" s="1" t="s">
        <v>187</v>
      </c>
      <c r="B7" s="23" t="n">
        <f aca="false">Earnings!F11</f>
        <v>-910</v>
      </c>
      <c r="C7" s="35" t="n">
        <f aca="false">Assumptions!$B$62</f>
        <v>16</v>
      </c>
      <c r="D7" s="24" t="n">
        <f aca="false">B7*C7</f>
        <v>-14560</v>
      </c>
    </row>
    <row r="8" customFormat="false" ht="15" hidden="false" customHeight="false" outlineLevel="0" collapsed="false">
      <c r="A8" s="6" t="s">
        <v>204</v>
      </c>
      <c r="D8" s="25" t="n">
        <f aca="false">SUM(D5:D7)</f>
        <v>199843.407516284</v>
      </c>
    </row>
    <row r="9" customFormat="false" ht="15" hidden="false" customHeight="false" outlineLevel="0" collapsed="false">
      <c r="A9" s="6" t="s">
        <v>205</v>
      </c>
      <c r="B9" s="36" t="n">
        <f aca="false">D8/Assumptions!$B$10</f>
        <v>79.1004620827724</v>
      </c>
      <c r="E9" s="8"/>
    </row>
    <row r="10" customFormat="false" ht="15" hidden="false" customHeight="false" outlineLevel="0" collapsed="false">
      <c r="A10" s="1" t="s">
        <v>12</v>
      </c>
      <c r="B10" s="10" t="n">
        <f aca="false">Assumptions!$B$7</f>
        <v>77.75</v>
      </c>
      <c r="E10" s="8" t="s">
        <v>13</v>
      </c>
    </row>
    <row r="11" customFormat="false" ht="23.85" hidden="false" customHeight="false" outlineLevel="0" collapsed="false">
      <c r="A11" s="1" t="s">
        <v>14</v>
      </c>
      <c r="B11" s="28" t="n">
        <f aca="false">B9/B10-1</f>
        <v>0.0173692872382305</v>
      </c>
      <c r="E11" s="8" t="s">
        <v>206</v>
      </c>
    </row>
    <row r="12" customFormat="false" ht="15" hidden="false" customHeight="false" outlineLevel="0" collapsed="false">
      <c r="A12" s="6" t="s">
        <v>207</v>
      </c>
      <c r="B12" s="37" t="str">
        <f aca="false">IF(B11&gt;=0.15,"LONG",IF(B11&lt;=-0.25,"SHORT","NO CALL"))</f>
        <v>NO CALL</v>
      </c>
      <c r="E12" s="8" t="s">
        <v>208</v>
      </c>
    </row>
    <row r="13" customFormat="false" ht="15" hidden="false" customHeight="false" outlineLevel="0" collapsed="false">
      <c r="A13" s="1" t="s">
        <v>209</v>
      </c>
      <c r="B13" s="38" t="s">
        <v>210</v>
      </c>
      <c r="E13" s="8" t="s">
        <v>211</v>
      </c>
    </row>
    <row r="14" customFormat="false" ht="15" hidden="false" customHeight="false" outlineLevel="0" collapsed="false">
      <c r="A14" s="1" t="s">
        <v>212</v>
      </c>
      <c r="B14" s="39" t="n">
        <f aca="false">B9/Earnings!F14</f>
        <v>16.5659246874596</v>
      </c>
      <c r="E14" s="8"/>
    </row>
    <row r="16" customFormat="false" ht="15" hidden="false" customHeight="false" outlineLevel="0" collapsed="false">
      <c r="A16" s="1" t="s">
        <v>213</v>
      </c>
      <c r="B16" s="40" t="n">
        <f aca="false">Assumptions!$B$10*B10/1000</f>
        <v>196.4315318175</v>
      </c>
      <c r="E16" s="8"/>
    </row>
    <row r="17" customFormat="false" ht="15" hidden="false" customHeight="false" outlineLevel="0" collapsed="false">
      <c r="A17" s="1" t="s">
        <v>214</v>
      </c>
      <c r="B17" s="23" t="n">
        <f aca="false">Assumptions!$B$12-Assumptions!$B$11</f>
        <v>62242</v>
      </c>
      <c r="E17" s="8" t="s">
        <v>215</v>
      </c>
    </row>
    <row r="18" customFormat="false" ht="15" hidden="false" customHeight="false" outlineLevel="0" collapsed="false">
      <c r="A18" s="1" t="s">
        <v>216</v>
      </c>
      <c r="B18" s="31" t="n">
        <f aca="false">B16+(B17+Assumptions!$B$13)/1000</f>
        <v>262.5455318175</v>
      </c>
      <c r="E18" s="8"/>
    </row>
    <row r="19" customFormat="false" ht="15" hidden="false" customHeight="false" outlineLevel="0" collapsed="false">
      <c r="A19" s="1" t="s">
        <v>217</v>
      </c>
      <c r="B19" s="39" t="n">
        <f aca="false">B10/((Assumptions!$B$17-Assumptions!$B$18+Assumptions!$B$19)/Assumptions!$B$10)</f>
        <v>17.5526344220802</v>
      </c>
      <c r="E19" s="8"/>
    </row>
    <row r="20" customFormat="false" ht="15" hidden="false" customHeight="false" outlineLevel="0" collapsed="false">
      <c r="A20" s="1" t="s">
        <v>218</v>
      </c>
      <c r="B20" s="39" t="n">
        <f aca="false">B10/Earnings!D14</f>
        <v>17.1412256450422</v>
      </c>
      <c r="E20" s="8"/>
    </row>
    <row r="21" customFormat="false" ht="15" hidden="false" customHeight="false" outlineLevel="0" collapsed="false">
      <c r="A21" s="1" t="s">
        <v>219</v>
      </c>
      <c r="B21" s="39" t="n">
        <f aca="false">B10/Earnings!E14</f>
        <v>16.657109017237</v>
      </c>
      <c r="E21" s="8"/>
    </row>
    <row r="22" customFormat="false" ht="15" hidden="false" customHeight="false" outlineLevel="0" collapsed="false">
      <c r="A22" s="1" t="s">
        <v>220</v>
      </c>
      <c r="B22" s="39" t="n">
        <f aca="false">B10/Assumptions!$B$40</f>
        <v>15.7070707070707</v>
      </c>
      <c r="E22" s="8"/>
    </row>
    <row r="23" customFormat="false" ht="15" hidden="false" customHeight="false" outlineLevel="0" collapsed="false">
      <c r="A23" s="1" t="s">
        <v>221</v>
      </c>
      <c r="B23" s="39" t="n">
        <f aca="false">B10/Earnings!F14</f>
        <v>16.2830988661254</v>
      </c>
      <c r="E23" s="8"/>
    </row>
    <row r="24" customFormat="false" ht="15" hidden="false" customHeight="false" outlineLevel="0" collapsed="false">
      <c r="A24" s="1" t="s">
        <v>222</v>
      </c>
      <c r="B24" s="39" t="n">
        <f aca="false">(B10*Assumptions!$B$10-D6-D7)/B5</f>
        <v>17.6776238106247</v>
      </c>
      <c r="E24" s="8"/>
    </row>
    <row r="25" customFormat="false" ht="15" hidden="false" customHeight="false" outlineLevel="0" collapsed="false">
      <c r="A25" s="1" t="s">
        <v>223</v>
      </c>
      <c r="B25" s="41" t="n">
        <f aca="false">B9/1.15</f>
        <v>68.7830105067586</v>
      </c>
      <c r="E25" s="8" t="s">
        <v>224</v>
      </c>
    </row>
    <row r="26" customFormat="false" ht="15" hidden="false" customHeight="false" outlineLevel="0" collapsed="false">
      <c r="A26" s="1" t="s">
        <v>225</v>
      </c>
      <c r="B26" s="41" t="n">
        <f aca="false">B9/0.75</f>
        <v>105.46728277703</v>
      </c>
      <c r="E26" s="8" t="s">
        <v>226</v>
      </c>
    </row>
    <row r="27" customFormat="false" ht="15" hidden="false" customHeight="false" outlineLevel="0" collapsed="false">
      <c r="A27" s="1" t="s">
        <v>227</v>
      </c>
      <c r="B27" s="27" t="n">
        <f aca="false">Assumptions!$B$14/B10</f>
        <v>0.0411575562700965</v>
      </c>
      <c r="E27" s="8"/>
    </row>
    <row r="28" customFormat="false" ht="15" hidden="false" customHeight="false" outlineLevel="0" collapsed="false">
      <c r="A28" s="1" t="s">
        <v>228</v>
      </c>
      <c r="B28" s="28" t="n">
        <f aca="false">B10/Assumptions!$B$9-1</f>
        <v>0.120317002881844</v>
      </c>
      <c r="E28" s="8"/>
    </row>
    <row r="29" customFormat="false" ht="15" hidden="false" customHeight="false" outlineLevel="0" collapsed="false">
      <c r="A29" s="1" t="s">
        <v>229</v>
      </c>
      <c r="B29" s="28" t="n">
        <f aca="false">B10/Assumptions!$B$8-1</f>
        <v>-0.0256892230576441</v>
      </c>
      <c r="E29" s="8"/>
    </row>
    <row r="30" customFormat="false" ht="15" hidden="false" customHeight="false" outlineLevel="0" collapsed="false">
      <c r="A30" s="1" t="s">
        <v>230</v>
      </c>
      <c r="B30" s="11" t="n">
        <f aca="false">Assumptions!$B$41/B10-1</f>
        <v>0.0237942122186494</v>
      </c>
      <c r="E30" s="8" t="s">
        <v>231</v>
      </c>
    </row>
    <row r="31" customFormat="false" ht="15" hidden="false" customHeight="false" outlineLevel="0" collapsed="false">
      <c r="A31" s="1" t="s">
        <v>232</v>
      </c>
      <c r="B31" s="41" t="n">
        <f aca="false">(D5+B6*14+D7)/Assumptions!$B$10</f>
        <v>82.8844268725526</v>
      </c>
      <c r="E31" s="8" t="s">
        <v>233</v>
      </c>
    </row>
    <row r="32" customFormat="false" ht="15" hidden="false" customHeight="false" outlineLevel="0" collapsed="false">
      <c r="A32" s="1" t="s">
        <v>234</v>
      </c>
      <c r="B32" s="28" t="n">
        <f aca="false">B31/B10-1</f>
        <v>0.0660376446630557</v>
      </c>
      <c r="E32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14"/>
    <col collapsed="false" customWidth="true" hidden="false" outlineLevel="0" max="7" min="5" style="1" width="11"/>
    <col collapsed="false" customWidth="true" hidden="false" outlineLevel="0" max="8" min="8" style="1" width="14"/>
    <col collapsed="false" customWidth="true" hidden="false" outlineLevel="0" max="9" min="9" style="1" width="12"/>
    <col collapsed="false" customWidth="true" hidden="false" outlineLevel="0" max="10" min="10" style="1" width="14"/>
    <col collapsed="false" customWidth="true" hidden="false" outlineLevel="0" max="11" min="11" style="1" width="12"/>
  </cols>
  <sheetData>
    <row r="1" customFormat="false" ht="15" hidden="false" customHeight="false" outlineLevel="0" collapsed="false">
      <c r="A1" s="2" t="s">
        <v>235</v>
      </c>
    </row>
    <row r="2" customFormat="false" ht="15" hidden="false" customHeight="false" outlineLevel="0" collapsed="false">
      <c r="A2" s="3" t="s">
        <v>1</v>
      </c>
    </row>
    <row r="4" customFormat="false" ht="23.85" hidden="false" customHeight="false" outlineLevel="0" collapsed="false">
      <c r="A4" s="4" t="s">
        <v>236</v>
      </c>
      <c r="B4" s="5" t="s">
        <v>237</v>
      </c>
      <c r="C4" s="5" t="s">
        <v>238</v>
      </c>
      <c r="D4" s="5" t="s">
        <v>239</v>
      </c>
      <c r="E4" s="5" t="s">
        <v>240</v>
      </c>
      <c r="F4" s="5" t="s">
        <v>241</v>
      </c>
      <c r="G4" s="5" t="s">
        <v>242</v>
      </c>
      <c r="H4" s="5" t="s">
        <v>243</v>
      </c>
      <c r="I4" s="5" t="s">
        <v>244</v>
      </c>
      <c r="J4" s="5" t="s">
        <v>245</v>
      </c>
      <c r="K4" s="5" t="s">
        <v>246</v>
      </c>
    </row>
    <row r="5" customFormat="false" ht="15" hidden="false" customHeight="false" outlineLevel="0" collapsed="false">
      <c r="A5" s="6" t="s">
        <v>247</v>
      </c>
      <c r="B5" s="42" t="n">
        <v>0</v>
      </c>
      <c r="C5" s="19" t="n">
        <v>0.0695</v>
      </c>
      <c r="D5" s="20" t="n">
        <v>1900</v>
      </c>
      <c r="E5" s="21" t="n">
        <v>15</v>
      </c>
      <c r="F5" s="21" t="n">
        <v>8</v>
      </c>
      <c r="G5" s="21" t="n">
        <v>13</v>
      </c>
      <c r="H5" s="43" t="n">
        <f aca="false">(SoC!$G$6+B5*1000)*C5*SoC!$G$11+SoC!$G$13</f>
        <v>10153.6527374573</v>
      </c>
      <c r="I5" s="44" t="n">
        <f aca="false">(H5+D5+Earnings!$F$11)/Assumptions!$B$10</f>
        <v>4.41079388996606</v>
      </c>
      <c r="J5" s="44" t="n">
        <f aca="false">(H5*E5+D5*F5+Earnings!$F$11*G5)/Assumptions!$B$10</f>
        <v>61.6179841040226</v>
      </c>
      <c r="K5" s="45" t="n">
        <f aca="false">J5/Assumptions!$B$7-1</f>
        <v>-0.207485734996493</v>
      </c>
    </row>
    <row r="6" customFormat="false" ht="15" hidden="false" customHeight="false" outlineLevel="0" collapsed="false">
      <c r="A6" s="6" t="s">
        <v>248</v>
      </c>
      <c r="B6" s="42" t="n">
        <v>0</v>
      </c>
      <c r="C6" s="46" t="n">
        <f aca="false">Assumptions!$B$44</f>
        <v>0.0725</v>
      </c>
      <c r="D6" s="47" t="n">
        <f aca="false">Earnings!F10</f>
        <v>2390</v>
      </c>
      <c r="E6" s="48" t="n">
        <f aca="false">Assumptions!$B$60</f>
        <v>18</v>
      </c>
      <c r="F6" s="48" t="n">
        <f aca="false">Assumptions!$B$61</f>
        <v>10</v>
      </c>
      <c r="G6" s="48" t="n">
        <f aca="false">Assumptions!$B$62</f>
        <v>16</v>
      </c>
      <c r="H6" s="43" t="n">
        <f aca="false">(SoC!$G$6+B6*1000)*C6*SoC!$G$11+SoC!$G$13</f>
        <v>10583.5226397935</v>
      </c>
      <c r="I6" s="44" t="n">
        <f aca="false">(H6+D6+Earnings!$F$11)/Assumptions!$B$10</f>
        <v>4.77488963490528</v>
      </c>
      <c r="J6" s="44" t="n">
        <f aca="false">(H6*E6+D6*F6+Earnings!$F$11*G6)/Assumptions!$B$10</f>
        <v>79.1004620827724</v>
      </c>
      <c r="K6" s="45" t="n">
        <f aca="false">J6/Assumptions!$B$7-1</f>
        <v>0.0173692872382305</v>
      </c>
    </row>
    <row r="7" customFormat="false" ht="15" hidden="false" customHeight="false" outlineLevel="0" collapsed="false">
      <c r="A7" s="6" t="s">
        <v>249</v>
      </c>
      <c r="B7" s="42" t="n">
        <v>5</v>
      </c>
      <c r="C7" s="19" t="n">
        <v>0.0735</v>
      </c>
      <c r="D7" s="20" t="n">
        <v>2600</v>
      </c>
      <c r="E7" s="21" t="n">
        <v>20</v>
      </c>
      <c r="F7" s="21" t="n">
        <v>11</v>
      </c>
      <c r="G7" s="21" t="n">
        <v>18</v>
      </c>
      <c r="H7" s="43" t="n">
        <f aca="false">(SoC!$G$6+B7*1000)*C7*SoC!$G$11+SoC!$G$13</f>
        <v>11059.7025888299</v>
      </c>
      <c r="I7" s="44" t="n">
        <f aca="false">(H7+D7+Earnings!$F$11)/Assumptions!$B$10</f>
        <v>5.0464880414541</v>
      </c>
      <c r="J7" s="44" t="n">
        <f aca="false">(H7*E7+D7*F7+Earnings!$F$11*G7)/Assumptions!$B$10</f>
        <v>92.3881331969214</v>
      </c>
      <c r="K7" s="45" t="n">
        <f aca="false">J7/Assumptions!$B$7-1</f>
        <v>0.188271809606706</v>
      </c>
    </row>
    <row r="8" customFormat="false" ht="15" hidden="false" customHeight="false" outlineLevel="0" collapsed="false">
      <c r="B8" s="6" t="s">
        <v>247</v>
      </c>
      <c r="C8" s="6" t="s">
        <v>248</v>
      </c>
      <c r="D8" s="6" t="s">
        <v>249</v>
      </c>
    </row>
    <row r="9" customFormat="false" ht="15" hidden="false" customHeight="false" outlineLevel="0" collapsed="false">
      <c r="A9" s="6" t="s">
        <v>250</v>
      </c>
      <c r="B9" s="49" t="n">
        <v>0.25</v>
      </c>
      <c r="C9" s="49" t="n">
        <v>0.5</v>
      </c>
      <c r="D9" s="49" t="n">
        <v>0.25</v>
      </c>
      <c r="E9" s="50" t="n">
        <f aca="false">SUM(B9:D9)</f>
        <v>1</v>
      </c>
      <c r="F9" s="13" t="s">
        <v>251</v>
      </c>
    </row>
    <row r="11" customFormat="false" ht="15" hidden="false" customHeight="false" outlineLevel="0" collapsed="false">
      <c r="A11" s="6" t="s">
        <v>15</v>
      </c>
      <c r="J11" s="51" t="n">
        <f aca="false">B9*J5+C9*J6+D9*J7</f>
        <v>78.0517603666222</v>
      </c>
      <c r="K11" s="45" t="n">
        <f aca="false">J11/Assumptions!$B$7-1</f>
        <v>0.00388116227166857</v>
      </c>
    </row>
    <row r="12" customFormat="false" ht="15" hidden="false" customHeight="false" outlineLevel="0" collapsed="false">
      <c r="A12" s="1" t="s">
        <v>252</v>
      </c>
      <c r="J12" s="52" t="n">
        <f aca="false">J6-Valuation!B9</f>
        <v>0</v>
      </c>
    </row>
    <row r="14" customFormat="false" ht="15" hidden="false" customHeight="false" outlineLevel="0" collapsed="false">
      <c r="A14" s="13" t="s">
        <v>253</v>
      </c>
    </row>
    <row r="15" customFormat="false" ht="15" hidden="false" customHeight="false" outlineLevel="0" collapsed="false">
      <c r="A15" s="13" t="s">
        <v>254</v>
      </c>
    </row>
    <row r="16" customFormat="false" ht="15" hidden="false" customHeight="false" outlineLevel="0" collapsed="false">
      <c r="A16" s="13" t="s">
        <v>255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0"/>
    <col collapsed="false" customWidth="true" hidden="false" outlineLevel="0" max="4" min="2" style="1" width="14"/>
  </cols>
  <sheetData>
    <row r="1" customFormat="false" ht="15" hidden="false" customHeight="false" outlineLevel="0" collapsed="false">
      <c r="A1" s="2" t="s">
        <v>256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257</v>
      </c>
      <c r="B4" s="53" t="n">
        <v>16</v>
      </c>
      <c r="C4" s="53" t="n">
        <f aca="false">Assumptions!$B$60</f>
        <v>18</v>
      </c>
      <c r="D4" s="53" t="n">
        <v>20</v>
      </c>
    </row>
    <row r="5" customFormat="false" ht="15" hidden="false" customHeight="false" outlineLevel="0" collapsed="false">
      <c r="A5" s="15" t="n">
        <v>0</v>
      </c>
      <c r="B5" s="44" t="n">
        <f aca="false">((Earnings!$F$5+$A5*SoC!$B$18)*B$4+Valuation!$D$6+Valuation!$D$7)/Assumptions!$B$10</f>
        <v>70.7222869738143</v>
      </c>
      <c r="C5" s="54" t="n">
        <f aca="false">((Earnings!$F$5+$A5*SoC!$B$18)*C$4+Valuation!$D$6+Valuation!$D$7)/Assumptions!$B$10</f>
        <v>79.1004620827724</v>
      </c>
      <c r="D5" s="44" t="n">
        <f aca="false">((Earnings!$F$5+$A5*SoC!$B$18)*D$4+Valuation!$D$6+Valuation!$D$7)/Assumptions!$B$10</f>
        <v>87.4786371917305</v>
      </c>
    </row>
    <row r="6" customFormat="false" ht="15" hidden="false" customHeight="false" outlineLevel="0" collapsed="false">
      <c r="A6" s="15" t="n">
        <v>10</v>
      </c>
      <c r="B6" s="44" t="n">
        <f aca="false">((Earnings!$F$5+$A6*SoC!$B$18)*B$4+Valuation!$D$6+Valuation!$D$7)/Assumptions!$B$10</f>
        <v>74.8813027261962</v>
      </c>
      <c r="C6" s="44" t="n">
        <f aca="false">((Earnings!$F$5+$A6*SoC!$B$18)*C$4+Valuation!$D$6+Valuation!$D$7)/Assumptions!$B$10</f>
        <v>83.7793548042021</v>
      </c>
      <c r="D6" s="44" t="n">
        <f aca="false">((Earnings!$F$5+$A6*SoC!$B$18)*D$4+Valuation!$D$6+Valuation!$D$7)/Assumptions!$B$10</f>
        <v>92.677406882208</v>
      </c>
    </row>
    <row r="7" customFormat="false" ht="15" hidden="false" customHeight="false" outlineLevel="0" collapsed="false">
      <c r="A7" s="15" t="n">
        <v>25</v>
      </c>
      <c r="B7" s="44" t="n">
        <f aca="false">((Earnings!$F$5+$A7*SoC!$B$18)*B$4+Valuation!$D$6+Valuation!$D$7)/Assumptions!$B$10</f>
        <v>81.1198263547692</v>
      </c>
      <c r="C7" s="44" t="n">
        <f aca="false">((Earnings!$F$5+$A7*SoC!$B$18)*C$4+Valuation!$D$6+Valuation!$D$7)/Assumptions!$B$10</f>
        <v>90.7976938863467</v>
      </c>
      <c r="D7" s="44" t="n">
        <f aca="false">((Earnings!$F$5+$A7*SoC!$B$18)*D$4+Valuation!$D$6+Valuation!$D$7)/Assumptions!$B$10</f>
        <v>100.475561417924</v>
      </c>
    </row>
    <row r="9" customFormat="false" ht="15" hidden="false" customHeight="false" outlineLevel="0" collapsed="false">
      <c r="A9" s="6" t="s">
        <v>258</v>
      </c>
      <c r="B9" s="1" t="n">
        <f aca="false">COUNTIF(B5:D7,"&gt;"&amp;Assumptions!$B$7)</f>
        <v>7</v>
      </c>
      <c r="C9" s="1" t="s">
        <v>259</v>
      </c>
    </row>
    <row r="10" customFormat="false" ht="15" hidden="false" customHeight="false" outlineLevel="0" collapsed="false">
      <c r="A10" s="6" t="s">
        <v>260</v>
      </c>
      <c r="B10" s="1" t="n">
        <f aca="false">COUNTIF(B5:D7,"&gt;="&amp;Assumptions!$B$7*1.15)</f>
        <v>3</v>
      </c>
      <c r="C10" s="1" t="s">
        <v>259</v>
      </c>
    </row>
    <row r="11" customFormat="false" ht="15" hidden="false" customHeight="false" outlineLevel="0" collapsed="false">
      <c r="A11" s="6" t="s">
        <v>261</v>
      </c>
      <c r="B11" s="1" t="n">
        <f aca="false">COUNTIF(B5:D7,"&lt;="&amp;Assumptions!$B$7*0.75)</f>
        <v>0</v>
      </c>
      <c r="C11" s="1" t="s">
        <v>259</v>
      </c>
    </row>
    <row r="13" customFormat="false" ht="15" hidden="false" customHeight="false" outlineLevel="0" collapsed="false">
      <c r="A13" s="13" t="s">
        <v>262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0"/>
    <col collapsed="false" customWidth="true" hidden="false" outlineLevel="0" max="4" min="3" style="1" width="13"/>
    <col collapsed="false" customWidth="true" hidden="false" outlineLevel="0" max="5" min="5" style="1" width="11"/>
    <col collapsed="false" customWidth="true" hidden="false" outlineLevel="0" max="6" min="6" style="1" width="80"/>
  </cols>
  <sheetData>
    <row r="1" customFormat="false" ht="15" hidden="false" customHeight="false" outlineLevel="0" collapsed="false">
      <c r="A1" s="2" t="s">
        <v>263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264</v>
      </c>
      <c r="B4" s="5" t="s">
        <v>265</v>
      </c>
      <c r="C4" s="5" t="s">
        <v>266</v>
      </c>
      <c r="D4" s="5" t="s">
        <v>267</v>
      </c>
      <c r="E4" s="5" t="s">
        <v>268</v>
      </c>
      <c r="F4" s="5" t="s">
        <v>269</v>
      </c>
    </row>
    <row r="5" customFormat="false" ht="23.85" hidden="false" customHeight="false" outlineLevel="0" collapsed="false">
      <c r="A5" s="6" t="s">
        <v>270</v>
      </c>
      <c r="B5" s="1" t="s">
        <v>271</v>
      </c>
      <c r="C5" s="55" t="n">
        <v>17.18</v>
      </c>
      <c r="D5" s="55" t="n">
        <v>18.12</v>
      </c>
      <c r="E5" s="56" t="n">
        <v>0.0412</v>
      </c>
      <c r="F5" s="8" t="s">
        <v>272</v>
      </c>
    </row>
    <row r="6" customFormat="false" ht="15" hidden="false" customHeight="false" outlineLevel="0" collapsed="false">
      <c r="A6" s="22" t="s">
        <v>273</v>
      </c>
      <c r="B6" s="1" t="s">
        <v>274</v>
      </c>
      <c r="C6" s="55" t="n">
        <v>16.27</v>
      </c>
      <c r="D6" s="55" t="n">
        <v>17.3</v>
      </c>
      <c r="E6" s="56" t="n">
        <v>0.0519</v>
      </c>
      <c r="F6" s="8" t="s">
        <v>275</v>
      </c>
    </row>
    <row r="7" customFormat="false" ht="15" hidden="false" customHeight="false" outlineLevel="0" collapsed="false">
      <c r="A7" s="22" t="s">
        <v>276</v>
      </c>
      <c r="B7" s="1" t="s">
        <v>277</v>
      </c>
      <c r="C7" s="55" t="n">
        <v>7.75</v>
      </c>
      <c r="D7" s="55" t="n">
        <v>7.58</v>
      </c>
      <c r="E7" s="56" t="n">
        <v>0.0443</v>
      </c>
      <c r="F7" s="8" t="s">
        <v>278</v>
      </c>
    </row>
    <row r="8" customFormat="false" ht="15" hidden="false" customHeight="false" outlineLevel="0" collapsed="false">
      <c r="A8" s="22" t="s">
        <v>279</v>
      </c>
      <c r="B8" s="1" t="s">
        <v>280</v>
      </c>
      <c r="C8" s="55" t="n">
        <v>21.35</v>
      </c>
      <c r="D8" s="55" t="n">
        <v>21.31</v>
      </c>
      <c r="E8" s="56" t="n">
        <v>0.0484</v>
      </c>
      <c r="F8" s="8" t="s">
        <v>281</v>
      </c>
    </row>
    <row r="9" customFormat="false" ht="15" hidden="false" customHeight="false" outlineLevel="0" collapsed="false">
      <c r="A9" s="22" t="s">
        <v>282</v>
      </c>
      <c r="B9" s="1" t="s">
        <v>283</v>
      </c>
      <c r="C9" s="55" t="n">
        <v>10.61</v>
      </c>
      <c r="D9" s="55" t="n">
        <v>6.97</v>
      </c>
      <c r="E9" s="56" t="n">
        <v>0.0375</v>
      </c>
      <c r="F9" s="8" t="s">
        <v>284</v>
      </c>
    </row>
    <row r="11" customFormat="false" ht="15" hidden="false" customHeight="false" outlineLevel="0" collapsed="false">
      <c r="A11" s="6" t="s">
        <v>285</v>
      </c>
      <c r="C11" s="57" t="n">
        <f aca="false">MEDIAN(C6,C8)</f>
        <v>18.81</v>
      </c>
      <c r="E11" s="58" t="n">
        <f aca="false">MEDIAN(E6:E9)</f>
        <v>0.04635</v>
      </c>
    </row>
    <row r="13" customFormat="false" ht="15" hidden="false" customHeight="false" outlineLevel="0" collapsed="false">
      <c r="A13" s="13" t="s">
        <v>286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50"/>
  </cols>
  <sheetData>
    <row r="1" customFormat="false" ht="15" hidden="false" customHeight="false" outlineLevel="0" collapsed="false">
      <c r="A1" s="2" t="s">
        <v>287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288</v>
      </c>
      <c r="B4" s="5" t="s">
        <v>289</v>
      </c>
    </row>
    <row r="5" customFormat="false" ht="23.85" hidden="false" customHeight="false" outlineLevel="0" collapsed="false">
      <c r="A5" s="1" t="n">
        <v>1</v>
      </c>
      <c r="B5" s="8" t="s">
        <v>290</v>
      </c>
    </row>
    <row r="6" customFormat="false" ht="23.85" hidden="false" customHeight="false" outlineLevel="0" collapsed="false">
      <c r="A6" s="1" t="n">
        <v>2</v>
      </c>
      <c r="B6" s="8" t="s">
        <v>291</v>
      </c>
    </row>
    <row r="7" customFormat="false" ht="23.85" hidden="false" customHeight="false" outlineLevel="0" collapsed="false">
      <c r="A7" s="1" t="n">
        <v>3</v>
      </c>
      <c r="B7" s="8" t="s">
        <v>292</v>
      </c>
    </row>
    <row r="8" customFormat="false" ht="23.85" hidden="false" customHeight="false" outlineLevel="0" collapsed="false">
      <c r="A8" s="1" t="n">
        <v>4</v>
      </c>
      <c r="B8" s="8" t="s">
        <v>293</v>
      </c>
    </row>
    <row r="9" customFormat="false" ht="23.85" hidden="false" customHeight="false" outlineLevel="0" collapsed="false">
      <c r="A9" s="1" t="n">
        <v>5</v>
      </c>
      <c r="B9" s="8" t="s">
        <v>294</v>
      </c>
    </row>
    <row r="10" customFormat="false" ht="15" hidden="false" customHeight="false" outlineLevel="0" collapsed="false">
      <c r="A10" s="1" t="n">
        <v>6</v>
      </c>
      <c r="B10" s="8" t="s">
        <v>295</v>
      </c>
    </row>
    <row r="11" customFormat="false" ht="23.85" hidden="false" customHeight="false" outlineLevel="0" collapsed="false">
      <c r="A11" s="1" t="n">
        <v>7</v>
      </c>
      <c r="B11" s="8" t="s">
        <v>296</v>
      </c>
    </row>
    <row r="12" customFormat="false" ht="23.85" hidden="false" customHeight="false" outlineLevel="0" collapsed="false">
      <c r="A12" s="1" t="n">
        <v>8</v>
      </c>
      <c r="B12" s="8" t="s">
        <v>297</v>
      </c>
    </row>
    <row r="13" customFormat="false" ht="23.85" hidden="false" customHeight="false" outlineLevel="0" collapsed="false">
      <c r="A13" s="1" t="n">
        <v>9</v>
      </c>
      <c r="B13" s="8" t="s">
        <v>298</v>
      </c>
    </row>
    <row r="14" customFormat="false" ht="15" hidden="false" customHeight="false" outlineLevel="0" collapsed="false">
      <c r="A14" s="1" t="n">
        <v>10</v>
      </c>
      <c r="B14" s="8" t="s">
        <v>299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2026-11-02T14:46:29Z</dcterms:created>
  <dc:creator>openpyxl</dc:creator>
  <dc:description/>
  <dc:language>en-GB</dc:language>
  <cp:lastModifiedBy/>
  <dcterms:modified xsi:type="dcterms:W3CDTF">2026-11-02T14:46:29Z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