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6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ver" sheetId="1" state="visible" r:id="rId3"/>
    <sheet name="Assumptions" sheetId="2" state="visible" r:id="rId4"/>
    <sheet name="Earnings" sheetId="3" state="visible" r:id="rId5"/>
    <sheet name="Valuation" sheetId="4" state="visible" r:id="rId6"/>
    <sheet name="Scenarios" sheetId="5" state="visible" r:id="rId7"/>
    <sheet name="Sensitivity" sheetId="6" state="visible" r:id="rId8"/>
    <sheet name="Crane" sheetId="7" state="visible" r:id="rId9"/>
    <sheet name="Peers" sheetId="8" state="visible" r:id="rId10"/>
    <sheet name="Sources" sheetId="9" state="visible" r:id="rId1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<sst xmlns="http://schemas.openxmlformats.org/spreadsheetml/2006/main" count="339" uniqueCount="278">
  <si>
    <t xml:space="preserve">CONSTELLATION ENERGY CORPORATION (NASDAQ: CEG)  INITIATION MODEL</t>
  </si>
  <si>
    <t xml:space="preserve">Tommy Lau | Constellation Energy Corporation (Nasdaq: CEG) | 2026-10-30 | Personal research, not investment advice.</t>
  </si>
  <si>
    <t xml:space="preserve">Item</t>
  </si>
  <si>
    <t xml:space="preserve">Value</t>
  </si>
  <si>
    <t xml:space="preserve">Note</t>
  </si>
  <si>
    <t xml:space="preserve">Call (Tommy Lau, 30 October 2026)</t>
  </si>
  <si>
    <t xml:space="preserve">LONG at +15% or more, SHORT at -25% or worse, NO CALL between.</t>
  </si>
  <si>
    <t xml:space="preserve">Conviction</t>
  </si>
  <si>
    <t xml:space="preserve">Medium</t>
  </si>
  <si>
    <t xml:space="preserve">Judgement, not formula.</t>
  </si>
  <si>
    <t xml:space="preserve">Base value per share, US$</t>
  </si>
  <si>
    <t xml:space="preserve">Base multiple x 2028E adjusted operating EPS.</t>
  </si>
  <si>
    <t xml:space="preserve">Reference price, US$</t>
  </si>
  <si>
    <t xml:space="preserve">Nasdaq close, 29 October 2026.</t>
  </si>
  <si>
    <t xml:space="preserve">Base value against price</t>
  </si>
  <si>
    <t xml:space="preserve">Probability-weighted value, US$</t>
  </si>
  <si>
    <t xml:space="preserve">25 / 50 / 25 bear / base / bull.</t>
  </si>
  <si>
    <t xml:space="preserve">2028E adjusted operating EPS, US$</t>
  </si>
  <si>
    <t xml:space="preserve">My estimate.</t>
  </si>
  <si>
    <t xml:space="preserve">Horizon</t>
  </si>
  <si>
    <t xml:space="preserve">12 months, to October 2027</t>
  </si>
  <si>
    <t xml:space="preserve">Revisit if</t>
  </si>
  <si>
    <t xml:space="preserve">See note</t>
  </si>
  <si>
    <t xml:space="preserve">A price below about US$253, where my base value would sit 15 per cent above it, or a 2027 adjusted operating earnings guide with a midpoint of US$13.00 or more, which would lift my 2028 estimate enough for a long.</t>
  </si>
  <si>
    <t xml:space="preserve">Wrong if</t>
  </si>
  <si>
    <t xml:space="preserve">The shares close above US$330 or below US$200 in October 2027, or 2026 adjusted operating earnings land below the US$11.50 bottom of Constellation's raised guide, or Crane has not delivered power to the grid by the end of 2027, the target Constellation still holds.</t>
  </si>
  <si>
    <t xml:space="preserve">Tabs</t>
  </si>
  <si>
    <t xml:space="preserve">Assumptions</t>
  </si>
  <si>
    <t xml:space="preserve">Every input, with its source. Change the yellow cells to move the value.</t>
  </si>
  <si>
    <t xml:space="preserve">Earnings</t>
  </si>
  <si>
    <t xml:space="preserve">Adjusted operating EPS on Constellation's base and enhanced framework, 2024A to 2028E.</t>
  </si>
  <si>
    <t xml:space="preserve">Valuation</t>
  </si>
  <si>
    <t xml:space="preserve">Base value, the band, multiples at the price, revisit levels.</t>
  </si>
  <si>
    <t xml:space="preserve">Scenarios</t>
  </si>
  <si>
    <t xml:space="preserve">Bear / base / bull and the probability-weighted value.</t>
  </si>
  <si>
    <t xml:space="preserve">Sensitivity</t>
  </si>
  <si>
    <t xml:space="preserve">2028E EPS against the multiple.</t>
  </si>
  <si>
    <t xml:space="preserve">Crane</t>
  </si>
  <si>
    <t xml:space="preserve">The restart and grid-place arithmetic behind the claim.</t>
  </si>
  <si>
    <t xml:space="preserve">Peers</t>
  </si>
  <si>
    <t xml:space="preserve">Forward P/E and EV/EBITDA used to set the multiple.</t>
  </si>
  <si>
    <t xml:space="preserve">Sources</t>
  </si>
  <si>
    <t xml:space="preserve">Every source used.</t>
  </si>
  <si>
    <t xml:space="preserve">Colour key: blue = hardcoded input; yellow fill = my own assumption; green = link to another tab; black = formula.</t>
  </si>
  <si>
    <t xml:space="preserve">Companion note: 2026-10-30_Constellation_Initiation.pdf. Personal research, not investment advice.</t>
  </si>
  <si>
    <t xml:space="preserve">ASSUMPTIONS AND INPUTS</t>
  </si>
  <si>
    <t xml:space="preserve">Blue = hardcoded input. Yellow fill = my own assumption (change these to move the value). Green = link to another tab. Black = formula. US$ unless stated. Year end 31 December.</t>
  </si>
  <si>
    <t xml:space="preserve">Input</t>
  </si>
  <si>
    <t xml:space="preserve">Unit</t>
  </si>
  <si>
    <t xml:space="preserve">Source / note</t>
  </si>
  <si>
    <t xml:space="preserve">MARKET</t>
  </si>
  <si>
    <t xml:space="preserve">Reference share price</t>
  </si>
  <si>
    <t xml:space="preserve">US$</t>
  </si>
  <si>
    <t xml:space="preserve">Nasdaq close, 29 October 2026. Yahoo Finance history, read 30 October 2026; matches stockanalysis.com.</t>
  </si>
  <si>
    <t xml:space="preserve">Highest close, 15 October 2025</t>
  </si>
  <si>
    <t xml:space="preserve">Yahoo Finance. Intraday high US$412.70 the same day.</t>
  </si>
  <si>
    <t xml:space="preserve">Close, 31 December 2025</t>
  </si>
  <si>
    <t xml:space="preserve">Yahoo Finance.</t>
  </si>
  <si>
    <t xml:space="preserve">Common shares outstanding, 31 July 2026</t>
  </si>
  <si>
    <t xml:space="preserve">m</t>
  </si>
  <si>
    <t xml:space="preserve">Form 10-Q for the quarter to 30 June 2026, cover page: 354,307,379.</t>
  </si>
  <si>
    <t xml:space="preserve">Cash and cash equivalents, 30 June 2026</t>
  </si>
  <si>
    <t xml:space="preserve">US$m</t>
  </si>
  <si>
    <t xml:space="preserve">Q2 2026 earnings release, Form 8-K Ex. 99.1, 6 August 2026.</t>
  </si>
  <si>
    <t xml:space="preserve">Debt, 30 June 2026</t>
  </si>
  <si>
    <t xml:space="preserve">Q2 2026 earnings release, Form 8-K Ex. 99.1, 6 August 2026: short-term borrowings 5,226 + long-term debt due within one year 363 + long-term debt 19,111.</t>
  </si>
  <si>
    <t xml:space="preserve">Noncontrolling interests, 30 June 2026</t>
  </si>
  <si>
    <t xml:space="preserve">Pending sale proceeds, before closing adjustments and tax</t>
  </si>
  <si>
    <t xml:space="preserve">Form 10-Q: PJM assets to LS Power US$5.0bn; Brazos Valley US$860m; both expected to close by end 2026.</t>
  </si>
  <si>
    <t xml:space="preserve">GUIDANCE, FRAMEWORK AND CONSENSUS</t>
  </si>
  <si>
    <t xml:space="preserve">2026 adjusted operating EPS guide, low</t>
  </si>
  <si>
    <t xml:space="preserve">Q2 2026 earnings release, Form 8-K Ex. 99.1, 6 August 2026. Raised from US$11.00 to 12.00.</t>
  </si>
  <si>
    <t xml:space="preserve">2026 adjusted operating EPS guide, high</t>
  </si>
  <si>
    <t xml:space="preserve">2024 adjusted operating EPS</t>
  </si>
  <si>
    <t xml:space="preserve">Q4 2025 earnings release, 24 February 2026.</t>
  </si>
  <si>
    <t xml:space="preserve">2025 adjusted operating EPS</t>
  </si>
  <si>
    <t xml:space="preserve">Q1 2026 adjusted operating EPS</t>
  </si>
  <si>
    <t xml:space="preserve">Q1 2026 earnings release, 11 May 2026.</t>
  </si>
  <si>
    <t xml:space="preserve">Q2 2026 adjusted operating EPS</t>
  </si>
  <si>
    <t xml:space="preserve">Base EPS 2026, midpoint of US$6.65 to 6.75</t>
  </si>
  <si>
    <t xml:space="preserve">2026 Business and Earnings Outlook, Form 8-K Ex. 99.1, 31 March 2026. Includes assets to be divested in H2 2026.</t>
  </si>
  <si>
    <t xml:space="preserve">Base EPS 2027, midpoint of US$7.60 to 7.70</t>
  </si>
  <si>
    <t xml:space="preserve">2026 Business and Earnings Outlook, Form 8-K Ex. 99.1, 31 March 2026.</t>
  </si>
  <si>
    <t xml:space="preserve">Base EPS 2029, midpoint of US$11.40 to 11.90</t>
  </si>
  <si>
    <t xml:space="preserve">2026 Business and Earnings Outlook, Form 8-K Ex. 99.1, 31 March 2026. Base EPS growth of 20%+ from 2026 to 2029.</t>
  </si>
  <si>
    <t xml:space="preserve">2029 EPS per 1 GW nuclear PPA at a US$20/MWh premium to the PTC floor</t>
  </si>
  <si>
    <t xml:space="preserve">2026 Business and Earnings Outlook, Form 8-K Ex. 99.1, 31 March 2026: US$0.40 to 1.00 for US$20 to 50/MWh.</t>
  </si>
  <si>
    <t xml:space="preserve">2026 consensus adjusted EPS</t>
  </si>
  <si>
    <t xml:space="preserve">stockanalysis.com (S&amp;P Global), checked 28 October 2026, retrieved 30 October 2026. Cross-check only.</t>
  </si>
  <si>
    <t xml:space="preserve">2027 consensus adjusted EPS</t>
  </si>
  <si>
    <t xml:space="preserve">stockanalysis.com, as above. Cross-check only.</t>
  </si>
  <si>
    <t xml:space="preserve">Average analyst target</t>
  </si>
  <si>
    <t xml:space="preserve">stockanalysis.com: 25 analysts, low US$238, high US$399. Cross-check only.</t>
  </si>
  <si>
    <t xml:space="preserve">CRANE AND THE FLEET</t>
  </si>
  <si>
    <t xml:space="preserve">Crane output</t>
  </si>
  <si>
    <t xml:space="preserve">MW</t>
  </si>
  <si>
    <t xml:space="preserve">Constellation release of 20 September 2024; maximum facility output 859 MW per the FERC waiver affidavit.</t>
  </si>
  <si>
    <t xml:space="preserve">Crane restart capital spending, estimate</t>
  </si>
  <si>
    <t xml:space="preserve">Constellation Q3 2024 results, 4 November 2024.</t>
  </si>
  <si>
    <t xml:space="preserve">Capacity interconnection rights moved from Eddystone 3 and 4</t>
  </si>
  <si>
    <t xml:space="preserve">FERC order, 1 June 2026; 380 MW each per the waiver request of 31 March 2026.</t>
  </si>
  <si>
    <t xml:space="preserve">Expected nuclear output, 2026</t>
  </si>
  <si>
    <t xml:space="preserve">TWh</t>
  </si>
  <si>
    <t xml:space="preserve">2026 Business and Earnings Outlook, Form 8-K Ex. 99.1, 31 March 2026 (million MWh, including Salem and STP).</t>
  </si>
  <si>
    <t xml:space="preserve">Nuclear output available to contract</t>
  </si>
  <si>
    <t xml:space="preserve">2026 Business and Earnings Outlook, Form 8-K Ex. 99.1, 31 March 2026 (million MWh a year).</t>
  </si>
  <si>
    <t xml:space="preserve">Marginal statutory tax rate</t>
  </si>
  <si>
    <t xml:space="preserve">%</t>
  </si>
  <si>
    <t xml:space="preserve">Replacement cost of the Calpine natural gas assets</t>
  </si>
  <si>
    <t xml:space="preserve">US$bn</t>
  </si>
  <si>
    <t xml:space="preserve">2026 Business and Earnings Outlook, Form 8-K Ex. 99.1, 31 March 2026: ~US$65bn, over 2x the amount paid.</t>
  </si>
  <si>
    <t xml:space="preserve">Calpine enterprise value at announcement</t>
  </si>
  <si>
    <t xml:space="preserve">2026 Business and Earnings Outlook, Form 8-K Ex. 99.1, 31 March 2026: US$26.6bn enterprise value, 27.7 GW acquired.</t>
  </si>
  <si>
    <t xml:space="preserve">Google uprates</t>
  </si>
  <si>
    <t xml:space="preserve">Constellation and Google release, 6 October 2026; first uprate by 2028.</t>
  </si>
  <si>
    <t xml:space="preserve">Google uprate investment, at least</t>
  </si>
  <si>
    <t xml:space="preserve">As above: more than US$4.3bn.</t>
  </si>
  <si>
    <t xml:space="preserve">PJM 2028/2029 cleared capacity, all Constellation plants</t>
  </si>
  <si>
    <t xml:space="preserve">Form 8-K, 14 July 2026 (15,700 MW nuclear).</t>
  </si>
  <si>
    <t xml:space="preserve">PJM 2028/2029 clearing price</t>
  </si>
  <si>
    <t xml:space="preserve">US$/MW-day</t>
  </si>
  <si>
    <t xml:space="preserve">Form 8-K, 14 July 2026.</t>
  </si>
  <si>
    <t xml:space="preserve">MY ESTIMATES</t>
  </si>
  <si>
    <t xml:space="preserve">Q3 2026 adjusted operating EPS</t>
  </si>
  <si>
    <t xml:space="preserve">MY ESTIMATE. MarketBeat consensus US$3.84; Q3 2025 was US$3.04.</t>
  </si>
  <si>
    <t xml:space="preserve">Q4 2026 adjusted operating EPS</t>
  </si>
  <si>
    <t xml:space="preserve">MY ESTIMATE. Q4 2025 was US$2.30; Calpine adds.</t>
  </si>
  <si>
    <t xml:space="preserve">Enhanced share of total EPS, 2027</t>
  </si>
  <si>
    <t xml:space="preserve">MY ASSUMPTION. Midpoint of Constellation's 35 to 40%.</t>
  </si>
  <si>
    <t xml:space="preserve">Enhanced share of total EPS, 2028</t>
  </si>
  <si>
    <t xml:space="preserve">MY ASSUMPTION. Between the 2027 range and the 30 to 35% for 2029.</t>
  </si>
  <si>
    <t xml:space="preserve">Crane capacity factor</t>
  </si>
  <si>
    <t xml:space="preserve">MY ASSUMPTION. Fleet 92 to 95% in recent quarters; used only for the per-MWh sensitivity.</t>
  </si>
  <si>
    <t xml:space="preserve">Base multiple, P/E on 2028E adjusted operating EPS</t>
  </si>
  <si>
    <t xml:space="preserve">x</t>
  </si>
  <si>
    <t xml:space="preserve">MY ASSUMPTION. About one turn below the 21.3x forward P/E (stockanalysis.com); peers 9.6x to 14.4x.</t>
  </si>
  <si>
    <t xml:space="preserve">ADJUSTED OPERATING EPS ON CONSTELLATION'S BASE AND ENHANCED FRAMEWORK (US$ PER SHARE)</t>
  </si>
  <si>
    <t xml:space="preserve">US$ per share</t>
  </si>
  <si>
    <t xml:space="preserve">2024A</t>
  </si>
  <si>
    <t xml:space="preserve">2025A</t>
  </si>
  <si>
    <t xml:space="preserve">2026E*</t>
  </si>
  <si>
    <t xml:space="preserve">2027E*</t>
  </si>
  <si>
    <t xml:space="preserve">2028E*</t>
  </si>
  <si>
    <t xml:space="preserve">2029 (company)</t>
  </si>
  <si>
    <t xml:space="preserve">Base EPS (Constellation midpoint; 2028 my path)</t>
  </si>
  <si>
    <t xml:space="preserve">Enhanced share of total</t>
  </si>
  <si>
    <t xml:space="preserve">ADJUSTED OPERATING EPS</t>
  </si>
  <si>
    <t xml:space="preserve">Growth</t>
  </si>
  <si>
    <t xml:space="preserve">Enhanced EPS (total less base)</t>
  </si>
  <si>
    <t xml:space="preserve">Guide midpoint / consensus</t>
  </si>
  <si>
    <t xml:space="preserve">Mine against it</t>
  </si>
  <si>
    <t xml:space="preserve">Implied 2029 total at 32.5% enhanced</t>
  </si>
  <si>
    <t xml:space="preserve">Consensus 2027 against my 2027E</t>
  </si>
  <si>
    <t xml:space="preserve">Base EPS growth a year, 2026 to 2029 (company midpoints)</t>
  </si>
  <si>
    <t xml:space="preserve">2027 guide midpoint that makes a long if 2028E is scaled in proportion to 2027E</t>
  </si>
  <si>
    <t xml:space="preserve">Test guide midpoint, US$</t>
  </si>
  <si>
    <t xml:space="preserve">Value if 2028E scales in proportion, US$</t>
  </si>
  <si>
    <t xml:space="preserve">Value on my framework path alone (base 2027 implied by the guide at 37.5% enhanced), US$</t>
  </si>
  <si>
    <t xml:space="preserve">*2026E = Q1 and Q2 actual plus my Q3 and Q4. 2027E and 2028E = base EPS / (1 - enhanced share), on Constellation's framework of 31 March 2026.</t>
  </si>
  <si>
    <t xml:space="preserve">Base earnings (Constellation): contracts, nuclear at the PTC floor with 2% inflation, minimum fossil earnings, 10-year average commercial margins.</t>
  </si>
  <si>
    <t xml:space="preserve">Enhanced: prices above base assumptions, commercial margins above average, volatility. Company ranges: ~40% (2026), 35 to 40% (2027), 30 to 35% (2029).</t>
  </si>
  <si>
    <t xml:space="preserve">The 2028 base figure is my geometric interpolation; Constellation gave 2026, 2027 and 2029 only. Its 2029 projection includes announced long-term offtakes (Crane).</t>
  </si>
  <si>
    <t xml:space="preserve">VALUATION: P/E ON 2028E ADJUSTED OPERATING EPS, TWELVE MONTHS OUT</t>
  </si>
  <si>
    <t xml:space="preserve">Working / note</t>
  </si>
  <si>
    <t xml:space="preserve">Base multiple</t>
  </si>
  <si>
    <t xml:space="preserve">About one turn below the forward P/E today.</t>
  </si>
  <si>
    <t xml:space="preserve">BASE VALUE PER SHARE, US$</t>
  </si>
  <si>
    <t xml:space="preserve">Band: LONG at +15% or more, SHORT at -25% or worse, NO CALL between.</t>
  </si>
  <si>
    <t xml:space="preserve">VIEW ON THE BAND</t>
  </si>
  <si>
    <t xml:space="preserve">Tommy Lau's call, 30 October 2026: NO CALL, Medium conviction.</t>
  </si>
  <si>
    <t xml:space="preserve">Target, US$</t>
  </si>
  <si>
    <t xml:space="preserve">None (no call)</t>
  </si>
  <si>
    <t xml:space="preserve">None for a no call.</t>
  </si>
  <si>
    <t xml:space="preserve">Target against price</t>
  </si>
  <si>
    <t xml:space="preserve">Market value, US$bn</t>
  </si>
  <si>
    <t xml:space="preserve">Shares outstanding at 31 July 2026.</t>
  </si>
  <si>
    <t xml:space="preserve">Net debt, US$m, 30 June 2026</t>
  </si>
  <si>
    <t xml:space="preserve">Before the pending sale proceeds.</t>
  </si>
  <si>
    <t xml:space="preserve">Enterprise value, US$bn</t>
  </si>
  <si>
    <t xml:space="preserve">Before decommissioning, leases and pensions.</t>
  </si>
  <si>
    <t xml:space="preserve">P/E on 2026 guide midpoint</t>
  </si>
  <si>
    <t xml:space="preserve">P/E on 2026E (mine)</t>
  </si>
  <si>
    <t xml:space="preserve">P/E on 2027 consensus</t>
  </si>
  <si>
    <t xml:space="preserve">stockanalysis.com.</t>
  </si>
  <si>
    <t xml:space="preserve">P/E on 2027E (mine)</t>
  </si>
  <si>
    <t xml:space="preserve">P/E on 2028E (mine): what the price pays</t>
  </si>
  <si>
    <t xml:space="preserve">Multiple of 2028E needed for a value 15% above the price</t>
  </si>
  <si>
    <t xml:space="preserve">2028E EPS needed at the base multiple for a long, US$</t>
  </si>
  <si>
    <t xml:space="preserve">Price below which the base value is 15% or more above it, US$</t>
  </si>
  <si>
    <t xml:space="preserve">Revisit level for a long.</t>
  </si>
  <si>
    <t xml:space="preserve">Price above which the base value is 25% or more below it, US$</t>
  </si>
  <si>
    <t xml:space="preserve">Revisit level for a short.</t>
  </si>
  <si>
    <t xml:space="preserve">Price against the highest close</t>
  </si>
  <si>
    <t xml:space="preserve">Price change in 2026 to date</t>
  </si>
  <si>
    <t xml:space="preserve">Average analyst target against price</t>
  </si>
  <si>
    <t xml:space="preserve">Cross-check only.</t>
  </si>
  <si>
    <t xml:space="preserve">Dividend yield at the price</t>
  </si>
  <si>
    <t xml:space="preserve">Quarterly dividend US$0.4265 (Q4 2025 release).</t>
  </si>
  <si>
    <t xml:space="preserve">THREE CASES, TWELVE MONTHS OUT (VALUE = MULTIPLE x 2028E EPS)</t>
  </si>
  <si>
    <t xml:space="preserve">Case</t>
  </si>
  <si>
    <t xml:space="preserve">2028 base EPS</t>
  </si>
  <si>
    <t xml:space="preserve">Enhanced share</t>
  </si>
  <si>
    <t xml:space="preserve">Multiple</t>
  </si>
  <si>
    <t xml:space="preserve">2028E EPS</t>
  </si>
  <si>
    <t xml:space="preserve">Value, US$</t>
  </si>
  <si>
    <t xml:space="preserve">vs price</t>
  </si>
  <si>
    <t xml:space="preserve">Bear</t>
  </si>
  <si>
    <t xml:space="preserve">Base</t>
  </si>
  <si>
    <t xml:space="preserve">Bull</t>
  </si>
  <si>
    <t xml:space="preserve">Probability</t>
  </si>
  <si>
    <t xml:space="preserve">must be 100%</t>
  </si>
  <si>
    <t xml:space="preserve">Check: base case equals the Valuation tab</t>
  </si>
  <si>
    <t xml:space="preserve">Bull add-on (MY ASSUMPTION: no start date disclosed; half a year in 2028): 2.7 GW at the low-end 2029 PPA sensitivity, US$</t>
  </si>
  <si>
    <t xml:space="preserve">Bear: PJM caps capacity prices for longer and forward power prices fall; Crane slips; base 2028 EPS US$8.60 (about 9% below my path), enhanced 30%; 15x, near Vistra.</t>
  </si>
  <si>
    <t xml:space="preserve">Base: Constellation's framework at the midpoints; 20x.</t>
  </si>
  <si>
    <t xml:space="preserve">Bull: the 2,700 MW Google supply deal priced at the low end of Constellation's own sensitivity (about US$0.50 in 2028), enhanced holds at 40%; 23x.</t>
  </si>
  <si>
    <t xml:space="preserve">VALUE PER SHARE: 2028E EPS AGAINST THE P/E (US$)</t>
  </si>
  <si>
    <t xml:space="preserve">2028E EPS \ P/E</t>
  </si>
  <si>
    <t xml:space="preserve">Cells above the reference price</t>
  </si>
  <si>
    <t xml:space="preserve">of 9</t>
  </si>
  <si>
    <t xml:space="preserve">Cells 15% or more above the price</t>
  </si>
  <si>
    <t xml:space="preserve">Cells 25% or more below the price</t>
  </si>
  <si>
    <t xml:space="preserve">The middle row links to the model's 2028E EPS and the middle column to the base multiple.</t>
  </si>
  <si>
    <t xml:space="preserve">CRANE AND THE GRID PLACE: THE CLAIM'S ARITHMETIC</t>
  </si>
  <si>
    <t xml:space="preserve">Crane output, TWh a year</t>
  </si>
  <si>
    <t xml:space="preserve">My capacity factor.</t>
  </si>
  <si>
    <t xml:space="preserve">Share of 2026 expected nuclear output</t>
  </si>
  <si>
    <t xml:space="preserve">After-tax EPS per US$10/MWh of Crane margin, US$</t>
  </si>
  <si>
    <t xml:space="preserve">Marginal statutory rate; shares at 31 July 2026.</t>
  </si>
  <si>
    <t xml:space="preserve">Crane restart cost per kW, US$</t>
  </si>
  <si>
    <t xml:space="preserve">US$1.6bn estimate of November 2024.</t>
  </si>
  <si>
    <t xml:space="preserve">Calpine gas assets: replacement cost over enterprise value paid</t>
  </si>
  <si>
    <t xml:space="preserve">Constellation's own estimates; my division.</t>
  </si>
  <si>
    <t xml:space="preserve">Google uprates cost per kW, US$</t>
  </si>
  <si>
    <t xml:space="preserve">At least; 'more than US$4.3bn'.</t>
  </si>
  <si>
    <t xml:space="preserve">Eddystone rights against Crane output</t>
  </si>
  <si>
    <t xml:space="preserve">PJM 2028/2029 capacity revenue, US$m a year</t>
  </si>
  <si>
    <t xml:space="preserve">Cleared MW x price x 365; my arithmetic.</t>
  </si>
  <si>
    <t xml:space="preserve">Crane timeline: restart announced 20 Sep 2024 (target 2028); PJM Reliability Resource Initiative selection 2 May 2025 brought the target to 2027;</t>
  </si>
  <si>
    <t xml:space="preserve">PJM Phase I report 31 Oct 2025: contingent 765 kV and 500 kV lines with in-service dates as late as Dec 2030; soonest full deliverability 31 Dec 2030;</t>
  </si>
  <si>
    <t xml:space="preserve">waiver request 31 Mar 2026 (ER26-2028-000): able to generate H2 2027, NRC approvals early 2027; FERC granted 1 Jun 2026; NRC fuel licence amendment approved (Q2 2026).</t>
  </si>
  <si>
    <t xml:space="preserve">The claim's test: Crane at full output on the grid by 31 Dec 2028.</t>
  </si>
  <si>
    <t xml:space="preserve">PEER MULTIPLES (stockanalysis.com, UPDATED 29 OCTOBER 2026)</t>
  </si>
  <si>
    <t xml:space="preserve">Company</t>
  </si>
  <si>
    <t xml:space="preserve">Ticker</t>
  </si>
  <si>
    <t xml:space="preserve">Forward P/E</t>
  </si>
  <si>
    <t xml:space="preserve">EV/EBITDA</t>
  </si>
  <si>
    <t xml:space="preserve">What they run</t>
  </si>
  <si>
    <t xml:space="preserve">Constellation</t>
  </si>
  <si>
    <t xml:space="preserve">Nasdaq: CEG</t>
  </si>
  <si>
    <t xml:space="preserve">Largest US nuclear fleet (~22 GW), Calpine gas and geothermal, retail supply</t>
  </si>
  <si>
    <t xml:space="preserve">Vistra</t>
  </si>
  <si>
    <t xml:space="preserve">NYSE: VST</t>
  </si>
  <si>
    <t xml:space="preserve">Nuclear (Comanche Peak and others), gas fleet in ERCOT and PJM, retail</t>
  </si>
  <si>
    <t xml:space="preserve">Talen Energy</t>
  </si>
  <si>
    <t xml:space="preserve">Nasdaq: TLN</t>
  </si>
  <si>
    <t xml:space="preserve">Susquehanna nuclear plant and gas plants in PJM</t>
  </si>
  <si>
    <t xml:space="preserve">NRG Energy</t>
  </si>
  <si>
    <t xml:space="preserve">NYSE: NRG</t>
  </si>
  <si>
    <t xml:space="preserve">Gas fleet in ERCOT and PJM, retail electricity and home services</t>
  </si>
  <si>
    <t xml:space="preserve">Peer median (excluding Constellation)</t>
  </si>
  <si>
    <t xml:space="preserve">Constellation premium over the peer median, turns</t>
  </si>
  <si>
    <t xml:space="preserve">Multiples only, to set the range. No view on the peers' shares is expressed. Talen had a trailing net loss, so its EV/EBITDA is not meaningful.</t>
  </si>
  <si>
    <t xml:space="preserve">SOURCES</t>
  </si>
  <si>
    <t xml:space="preserve">No.</t>
  </si>
  <si>
    <t xml:space="preserve">Source and what it supports</t>
  </si>
  <si>
    <t xml:space="preserve">Constellation second quarter 2026 earnings release, Form 8-K Ex. 99.1, 6 August 2026: Q2 adjusted EPS, raised 2026 guide, balance sheet, FERC waiver, NRC fuel licence, Brazos Valley sale, nuclear output.</t>
  </si>
  <si>
    <t xml:space="preserve">Constellation Form 10-Q, quarter to 30 June 2026, filed 6 August 2026: Note 3 (Crane CIRs), Note 2 (Calpine purchase and divestitures), Note 13 (DOE loan), repurchases, shares outstanding.</t>
  </si>
  <si>
    <t xml:space="preserve">Constellation first quarter 2026 release, 11 May 2026, and fourth quarter 2025 release, 24 February 2026: quarterly and annual adjusted EPS.</t>
  </si>
  <si>
    <t xml:space="preserve">Constellation 2026 Business and Earnings Outlook, Form 8-K Ex. 99.1, 31 March 2026: base and enhanced earnings, 2029 framework, sensitivities, nuclear volumes, Calpine replacement cost.</t>
  </si>
  <si>
    <t xml:space="preserve">Constellation Form 8-K, 14 July 2026: PJM 2028/2029 capacity auction. Form 8-K, 2 June 2026: secondary offering and repurchase. Form 8-K/A, 20 April 2026: Calpine closing, 7 January 2026.</t>
  </si>
  <si>
    <t xml:space="preserve">Constellation request for limited waiver, FERC docket ER26-2028-000, 31 March 2026, and Habtemichael affidavit: contingent facilities, December 2030, Eddystone 380 MW units, H2 2027.</t>
  </si>
  <si>
    <t xml:space="preserve">FERC order of 1 June 2026, as quoted by Utility Dive (5 June 2026) and the American Nuclear Society (5 June 2026).</t>
  </si>
  <si>
    <t xml:space="preserve">Constellation and Google announcement, 6 October 2026: 890 MW of uprates, 11 units, 20-year PPA, more than US$4.3bn, separate 2,700 MW 15-year agreement.</t>
  </si>
  <si>
    <t xml:space="preserve">Constellation Q3 2024 results, 4 November 2024: about US$1.6bn of capital spending for the Crane restart.</t>
  </si>
  <si>
    <t xml:space="preserve">Yahoo Finance CEG history pages, read 30 October 2026; stockanalysis.com (S&amp;P Global data) for consensus, targets and peer multiples; MarketBeat for Q3 2026 consensus and date (estimated).</t>
  </si>
  <si>
    <t xml:space="preserve">The Physical Layer, 'Constellation can bring a closed reactor back by 2027. The grid connection was the hard part.', 30 October 2026: https://thephysicallayer.fyi/journal/constellation-restarts-the-reactor/</t>
  </si>
  <si>
    <t xml:space="preserve">Estimates for the second half of 2026, 2027 and 2028 are the author's own. Personal research, not investment advice.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</si>
</sst>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&quot;US$&quot;#,##0.00"/>
    <numFmt numFmtId="166" formatCode="0.0%"/>
    <numFmt numFmtId="167" formatCode="#,##0.00"/>
    <numFmt numFmtId="168" formatCode="#,##0"/>
    <numFmt numFmtId="169" formatCode="0\x"/>
    <numFmt numFmtId="170" formatCode="0.0\x"/>
    <numFmt numFmtId="171" formatCode="#,##0.0"/>
    <numFmt numFmtId="172" formatCode="0.00%"/>
    <numFmt numFmtId="173" formatCode="0%"/>
    <numFmt numFmtId="174" formatCode="0.000"/>
    <numFmt numFmtId="175" formatCode="&quot;US$&quot;#,##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1F3864"/>
      <name val="Cambria"/>
      <family val="0"/>
      <charset val="1"/>
    </font>
    <font>
      <sz val="9"/>
      <color rgb="FF595959"/>
      <name val="Cambria"/>
      <family val="0"/>
      <charset val="1"/>
    </font>
    <font>
      <b val="true"/>
      <sz val="10"/>
      <color rgb="FFFFFFFF"/>
      <name val="Cambria"/>
      <family val="0"/>
      <charset val="1"/>
    </font>
    <font>
      <b val="true"/>
      <sz val="11"/>
      <name val="Cambria"/>
      <family val="0"/>
      <charset val="1"/>
    </font>
    <font>
      <sz val="11"/>
      <color rgb="FF008000"/>
      <name val="Cambria"/>
      <family val="0"/>
      <charset val="1"/>
    </font>
    <font>
      <sz val="11"/>
      <color rgb="FF0000FF"/>
      <name val="Cambria"/>
      <family val="0"/>
      <charset val="1"/>
    </font>
    <font>
      <b val="true"/>
      <sz val="11"/>
      <color rgb="FF1F3864"/>
      <name val="Cambria"/>
      <family val="0"/>
      <charset val="1"/>
    </font>
    <font>
      <i val="true"/>
      <sz val="9"/>
      <color rgb="FF595959"/>
      <name val="Cambria"/>
      <family val="0"/>
      <charset val="1"/>
    </font>
    <font>
      <b val="true"/>
      <sz val="11"/>
      <color rgb="FF0000FF"/>
      <name val="Cambria"/>
      <family val="0"/>
      <charset val="1"/>
    </font>
    <font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rgb="FFD9E2F3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7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12" fillId="3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7" fillId="4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72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4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74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70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2"/>
    <col collapsed="false" customWidth="true" hidden="false" outlineLevel="0" max="2" min="2" style="0" width="24"/>
    <col collapsed="false" customWidth="true" hidden="false" outlineLevel="0" max="3" min="3" style="0" width="100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s">
        <v>3</v>
      </c>
      <c r="C4" s="4" t="s">
        <v>4</v>
      </c>
    </row>
    <row r="5" customFormat="false" ht="15" hidden="false" customHeight="false" outlineLevel="0" collapsed="false">
      <c r="A5" s="5" t="s">
        <v>5</v>
      </c>
      <c r="B5" s="6" t="str">
        <f aca="false">Valuation!B10</f>
        <v>NO CALL</v>
      </c>
      <c r="C5" s="7" t="s">
        <v>6</v>
      </c>
    </row>
    <row r="6" customFormat="false" ht="15" hidden="false" customHeight="false" outlineLevel="0" collapsed="false">
      <c r="A6" s="5" t="s">
        <v>7</v>
      </c>
      <c r="B6" s="8" t="s">
        <v>8</v>
      </c>
      <c r="C6" s="7" t="s">
        <v>9</v>
      </c>
    </row>
    <row r="7" customFormat="false" ht="15" hidden="false" customHeight="false" outlineLevel="0" collapsed="false">
      <c r="A7" s="5" t="s">
        <v>10</v>
      </c>
      <c r="B7" s="9" t="n">
        <f aca="false">Valuation!B7</f>
        <v>290.476042662638</v>
      </c>
      <c r="C7" s="7" t="s">
        <v>11</v>
      </c>
    </row>
    <row r="8" customFormat="false" ht="15" hidden="false" customHeight="false" outlineLevel="0" collapsed="false">
      <c r="A8" s="5" t="s">
        <v>12</v>
      </c>
      <c r="B8" s="9" t="n">
        <f aca="false">Assumptions!$B$7</f>
        <v>264.58</v>
      </c>
      <c r="C8" s="7" t="s">
        <v>13</v>
      </c>
    </row>
    <row r="9" customFormat="false" ht="15" hidden="false" customHeight="false" outlineLevel="0" collapsed="false">
      <c r="A9" s="5" t="s">
        <v>14</v>
      </c>
      <c r="B9" s="10" t="n">
        <f aca="false">Valuation!B9</f>
        <v>0.0978760399978764</v>
      </c>
      <c r="C9" s="7"/>
    </row>
    <row r="10" customFormat="false" ht="15" hidden="false" customHeight="false" outlineLevel="0" collapsed="false">
      <c r="A10" s="5" t="s">
        <v>15</v>
      </c>
      <c r="B10" s="9" t="n">
        <f aca="false">Scenarios!E11</f>
        <v>286.567783236081</v>
      </c>
      <c r="C10" s="7" t="s">
        <v>16</v>
      </c>
    </row>
    <row r="11" customFormat="false" ht="15" hidden="false" customHeight="false" outlineLevel="0" collapsed="false">
      <c r="A11" s="5" t="s">
        <v>17</v>
      </c>
      <c r="B11" s="9" t="n">
        <f aca="false">Earnings!F7</f>
        <v>14.5238021331319</v>
      </c>
      <c r="C11" s="7" t="s">
        <v>18</v>
      </c>
    </row>
    <row r="12" customFormat="false" ht="15" hidden="false" customHeight="false" outlineLevel="0" collapsed="false">
      <c r="A12" s="5" t="s">
        <v>19</v>
      </c>
      <c r="B12" s="8" t="s">
        <v>20</v>
      </c>
      <c r="C12" s="7"/>
    </row>
    <row r="13" customFormat="false" ht="43.5" hidden="false" customHeight="true" outlineLevel="0" collapsed="false">
      <c r="A13" s="5" t="s">
        <v>21</v>
      </c>
      <c r="B13" s="8" t="s">
        <v>22</v>
      </c>
      <c r="C13" s="7" t="s">
        <v>23</v>
      </c>
    </row>
    <row r="14" customFormat="false" ht="57.75" hidden="false" customHeight="true" outlineLevel="0" collapsed="false">
      <c r="A14" s="5" t="s">
        <v>24</v>
      </c>
      <c r="B14" s="8" t="s">
        <v>22</v>
      </c>
      <c r="C14" s="7" t="s">
        <v>25</v>
      </c>
    </row>
    <row r="17" customFormat="false" ht="15" hidden="false" customHeight="false" outlineLevel="0" collapsed="false">
      <c r="A17" s="11" t="s">
        <v>26</v>
      </c>
    </row>
    <row r="18" customFormat="false" ht="15" hidden="false" customHeight="false" outlineLevel="0" collapsed="false">
      <c r="A18" s="0" t="s">
        <v>27</v>
      </c>
      <c r="B18" s="0" t="s">
        <v>28</v>
      </c>
    </row>
    <row r="19" customFormat="false" ht="15" hidden="false" customHeight="false" outlineLevel="0" collapsed="false">
      <c r="A19" s="0" t="s">
        <v>29</v>
      </c>
      <c r="B19" s="0" t="s">
        <v>30</v>
      </c>
    </row>
    <row r="20" customFormat="false" ht="15" hidden="false" customHeight="false" outlineLevel="0" collapsed="false">
      <c r="A20" s="0" t="s">
        <v>31</v>
      </c>
      <c r="B20" s="0" t="s">
        <v>32</v>
      </c>
    </row>
    <row r="21" customFormat="false" ht="15" hidden="false" customHeight="false" outlineLevel="0" collapsed="false">
      <c r="A21" s="0" t="s">
        <v>33</v>
      </c>
      <c r="B21" s="0" t="s">
        <v>34</v>
      </c>
    </row>
    <row r="22" customFormat="false" ht="15" hidden="false" customHeight="false" outlineLevel="0" collapsed="false">
      <c r="A22" s="0" t="s">
        <v>35</v>
      </c>
      <c r="B22" s="0" t="s">
        <v>36</v>
      </c>
    </row>
    <row r="23" customFormat="false" ht="15" hidden="false" customHeight="false" outlineLevel="0" collapsed="false">
      <c r="A23" s="0" t="s">
        <v>37</v>
      </c>
      <c r="B23" s="0" t="s">
        <v>38</v>
      </c>
    </row>
    <row r="24" customFormat="false" ht="15" hidden="false" customHeight="false" outlineLevel="0" collapsed="false">
      <c r="A24" s="0" t="s">
        <v>39</v>
      </c>
      <c r="B24" s="0" t="s">
        <v>40</v>
      </c>
    </row>
    <row r="25" customFormat="false" ht="15" hidden="false" customHeight="false" outlineLevel="0" collapsed="false">
      <c r="A25" s="0" t="s">
        <v>41</v>
      </c>
      <c r="B25" s="0" t="s">
        <v>42</v>
      </c>
    </row>
    <row r="27" customFormat="false" ht="15" hidden="false" customHeight="false" outlineLevel="0" collapsed="false">
      <c r="A27" s="12" t="s">
        <v>43</v>
      </c>
    </row>
    <row r="28" customFormat="false" ht="15" hidden="false" customHeight="false" outlineLevel="0" collapsed="false">
      <c r="A28" s="12" t="s">
        <v>44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4"/>
    <col collapsed="false" customWidth="true" hidden="false" outlineLevel="0" max="2" min="2" style="0" width="14"/>
    <col collapsed="false" customWidth="true" hidden="false" outlineLevel="0" max="3" min="3" style="0" width="10"/>
    <col collapsed="false" customWidth="true" hidden="false" outlineLevel="0" max="4" min="4" style="0" width="110"/>
  </cols>
  <sheetData>
    <row r="1" customFormat="false" ht="15" hidden="false" customHeight="false" outlineLevel="0" collapsed="false">
      <c r="A1" s="1" t="s">
        <v>45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12" t="s">
        <v>46</v>
      </c>
    </row>
    <row r="5" customFormat="false" ht="15" hidden="false" customHeight="false" outlineLevel="0" collapsed="false">
      <c r="A5" s="3" t="s">
        <v>47</v>
      </c>
      <c r="B5" s="4" t="s">
        <v>3</v>
      </c>
      <c r="C5" s="4" t="s">
        <v>48</v>
      </c>
      <c r="D5" s="4" t="s">
        <v>49</v>
      </c>
    </row>
    <row r="6" customFormat="false" ht="15" hidden="false" customHeight="false" outlineLevel="0" collapsed="false">
      <c r="A6" s="11" t="s">
        <v>50</v>
      </c>
    </row>
    <row r="7" customFormat="false" ht="15" hidden="false" customHeight="false" outlineLevel="0" collapsed="false">
      <c r="A7" s="0" t="s">
        <v>51</v>
      </c>
      <c r="B7" s="13" t="n">
        <v>264.58</v>
      </c>
      <c r="C7" s="0" t="s">
        <v>52</v>
      </c>
      <c r="D7" s="7" t="s">
        <v>53</v>
      </c>
    </row>
    <row r="8" customFormat="false" ht="15" hidden="false" customHeight="false" outlineLevel="0" collapsed="false">
      <c r="A8" s="0" t="s">
        <v>54</v>
      </c>
      <c r="B8" s="13" t="n">
        <v>403.95</v>
      </c>
      <c r="C8" s="0" t="s">
        <v>52</v>
      </c>
      <c r="D8" s="7" t="s">
        <v>55</v>
      </c>
    </row>
    <row r="9" customFormat="false" ht="15" hidden="false" customHeight="false" outlineLevel="0" collapsed="false">
      <c r="A9" s="0" t="s">
        <v>56</v>
      </c>
      <c r="B9" s="13" t="n">
        <v>353.27</v>
      </c>
      <c r="C9" s="0" t="s">
        <v>52</v>
      </c>
      <c r="D9" s="7" t="s">
        <v>57</v>
      </c>
    </row>
    <row r="10" customFormat="false" ht="15" hidden="false" customHeight="false" outlineLevel="0" collapsed="false">
      <c r="A10" s="0" t="s">
        <v>58</v>
      </c>
      <c r="B10" s="14" t="n">
        <v>354.31</v>
      </c>
      <c r="C10" s="0" t="s">
        <v>59</v>
      </c>
      <c r="D10" s="7" t="s">
        <v>60</v>
      </c>
    </row>
    <row r="11" customFormat="false" ht="15" hidden="false" customHeight="false" outlineLevel="0" collapsed="false">
      <c r="A11" s="0" t="s">
        <v>61</v>
      </c>
      <c r="B11" s="15" t="n">
        <v>697</v>
      </c>
      <c r="C11" s="0" t="s">
        <v>62</v>
      </c>
      <c r="D11" s="7" t="s">
        <v>63</v>
      </c>
    </row>
    <row r="12" customFormat="false" ht="23.85" hidden="false" customHeight="false" outlineLevel="0" collapsed="false">
      <c r="A12" s="0" t="s">
        <v>64</v>
      </c>
      <c r="B12" s="15" t="n">
        <v>24700</v>
      </c>
      <c r="C12" s="0" t="s">
        <v>62</v>
      </c>
      <c r="D12" s="7" t="s">
        <v>65</v>
      </c>
    </row>
    <row r="13" customFormat="false" ht="15" hidden="false" customHeight="false" outlineLevel="0" collapsed="false">
      <c r="A13" s="0" t="s">
        <v>66</v>
      </c>
      <c r="B13" s="15" t="n">
        <v>345</v>
      </c>
      <c r="C13" s="0" t="s">
        <v>62</v>
      </c>
      <c r="D13" s="7" t="s">
        <v>63</v>
      </c>
    </row>
    <row r="14" customFormat="false" ht="15" hidden="false" customHeight="false" outlineLevel="0" collapsed="false">
      <c r="A14" s="0" t="s">
        <v>67</v>
      </c>
      <c r="B14" s="15" t="n">
        <v>5860</v>
      </c>
      <c r="C14" s="0" t="s">
        <v>62</v>
      </c>
      <c r="D14" s="7" t="s">
        <v>68</v>
      </c>
    </row>
    <row r="15" customFormat="false" ht="15" hidden="false" customHeight="false" outlineLevel="0" collapsed="false">
      <c r="A15" s="11" t="s">
        <v>69</v>
      </c>
    </row>
    <row r="16" customFormat="false" ht="15" hidden="false" customHeight="false" outlineLevel="0" collapsed="false">
      <c r="A16" s="0" t="s">
        <v>70</v>
      </c>
      <c r="B16" s="13" t="n">
        <v>11.5</v>
      </c>
      <c r="C16" s="0" t="s">
        <v>52</v>
      </c>
      <c r="D16" s="7" t="s">
        <v>71</v>
      </c>
    </row>
    <row r="17" customFormat="false" ht="15" hidden="false" customHeight="false" outlineLevel="0" collapsed="false">
      <c r="A17" s="0" t="s">
        <v>72</v>
      </c>
      <c r="B17" s="13" t="n">
        <v>12.5</v>
      </c>
      <c r="C17" s="0" t="s">
        <v>52</v>
      </c>
      <c r="D17" s="7" t="s">
        <v>63</v>
      </c>
    </row>
    <row r="18" customFormat="false" ht="15" hidden="false" customHeight="false" outlineLevel="0" collapsed="false">
      <c r="A18" s="0" t="s">
        <v>73</v>
      </c>
      <c r="B18" s="13" t="n">
        <v>8.67</v>
      </c>
      <c r="C18" s="0" t="s">
        <v>52</v>
      </c>
      <c r="D18" s="7" t="s">
        <v>74</v>
      </c>
    </row>
    <row r="19" customFormat="false" ht="15" hidden="false" customHeight="false" outlineLevel="0" collapsed="false">
      <c r="A19" s="0" t="s">
        <v>75</v>
      </c>
      <c r="B19" s="13" t="n">
        <v>9.39</v>
      </c>
      <c r="C19" s="0" t="s">
        <v>52</v>
      </c>
      <c r="D19" s="7" t="s">
        <v>74</v>
      </c>
    </row>
    <row r="20" customFormat="false" ht="15" hidden="false" customHeight="false" outlineLevel="0" collapsed="false">
      <c r="A20" s="0" t="s">
        <v>76</v>
      </c>
      <c r="B20" s="13" t="n">
        <v>2.74</v>
      </c>
      <c r="C20" s="0" t="s">
        <v>52</v>
      </c>
      <c r="D20" s="7" t="s">
        <v>77</v>
      </c>
    </row>
    <row r="21" customFormat="false" ht="15" hidden="false" customHeight="false" outlineLevel="0" collapsed="false">
      <c r="A21" s="0" t="s">
        <v>78</v>
      </c>
      <c r="B21" s="13" t="n">
        <v>2.55</v>
      </c>
      <c r="C21" s="0" t="s">
        <v>52</v>
      </c>
      <c r="D21" s="7" t="s">
        <v>63</v>
      </c>
    </row>
    <row r="22" customFormat="false" ht="15" hidden="false" customHeight="false" outlineLevel="0" collapsed="false">
      <c r="A22" s="0" t="s">
        <v>79</v>
      </c>
      <c r="B22" s="13" t="n">
        <v>6.7</v>
      </c>
      <c r="C22" s="0" t="s">
        <v>52</v>
      </c>
      <c r="D22" s="7" t="s">
        <v>80</v>
      </c>
    </row>
    <row r="23" customFormat="false" ht="15" hidden="false" customHeight="false" outlineLevel="0" collapsed="false">
      <c r="A23" s="0" t="s">
        <v>81</v>
      </c>
      <c r="B23" s="13" t="n">
        <v>7.65</v>
      </c>
      <c r="C23" s="0" t="s">
        <v>52</v>
      </c>
      <c r="D23" s="7" t="s">
        <v>82</v>
      </c>
    </row>
    <row r="24" customFormat="false" ht="15" hidden="false" customHeight="false" outlineLevel="0" collapsed="false">
      <c r="A24" s="0" t="s">
        <v>83</v>
      </c>
      <c r="B24" s="13" t="n">
        <v>11.65</v>
      </c>
      <c r="C24" s="0" t="s">
        <v>52</v>
      </c>
      <c r="D24" s="7" t="s">
        <v>84</v>
      </c>
    </row>
    <row r="25" customFormat="false" ht="15" hidden="false" customHeight="false" outlineLevel="0" collapsed="false">
      <c r="A25" s="0" t="s">
        <v>85</v>
      </c>
      <c r="B25" s="13" t="n">
        <v>0.4</v>
      </c>
      <c r="C25" s="0" t="s">
        <v>52</v>
      </c>
      <c r="D25" s="7" t="s">
        <v>86</v>
      </c>
    </row>
    <row r="26" customFormat="false" ht="15" hidden="false" customHeight="false" outlineLevel="0" collapsed="false">
      <c r="A26" s="0" t="s">
        <v>87</v>
      </c>
      <c r="B26" s="13" t="n">
        <v>12.16</v>
      </c>
      <c r="C26" s="0" t="s">
        <v>52</v>
      </c>
      <c r="D26" s="7" t="s">
        <v>88</v>
      </c>
    </row>
    <row r="27" customFormat="false" ht="15" hidden="false" customHeight="false" outlineLevel="0" collapsed="false">
      <c r="A27" s="0" t="s">
        <v>89</v>
      </c>
      <c r="B27" s="13" t="n">
        <v>13.32</v>
      </c>
      <c r="C27" s="0" t="s">
        <v>52</v>
      </c>
      <c r="D27" s="7" t="s">
        <v>90</v>
      </c>
    </row>
    <row r="28" customFormat="false" ht="15" hidden="false" customHeight="false" outlineLevel="0" collapsed="false">
      <c r="A28" s="0" t="s">
        <v>91</v>
      </c>
      <c r="B28" s="13" t="n">
        <v>339.11</v>
      </c>
      <c r="C28" s="0" t="s">
        <v>52</v>
      </c>
      <c r="D28" s="7" t="s">
        <v>92</v>
      </c>
    </row>
    <row r="29" customFormat="false" ht="15" hidden="false" customHeight="false" outlineLevel="0" collapsed="false">
      <c r="A29" s="11" t="s">
        <v>93</v>
      </c>
    </row>
    <row r="30" customFormat="false" ht="15" hidden="false" customHeight="false" outlineLevel="0" collapsed="false">
      <c r="A30" s="0" t="s">
        <v>94</v>
      </c>
      <c r="B30" s="15" t="n">
        <v>835</v>
      </c>
      <c r="C30" s="0" t="s">
        <v>95</v>
      </c>
      <c r="D30" s="7" t="s">
        <v>96</v>
      </c>
    </row>
    <row r="31" customFormat="false" ht="15" hidden="false" customHeight="false" outlineLevel="0" collapsed="false">
      <c r="A31" s="0" t="s">
        <v>97</v>
      </c>
      <c r="B31" s="15" t="n">
        <v>1600</v>
      </c>
      <c r="C31" s="0" t="s">
        <v>62</v>
      </c>
      <c r="D31" s="7" t="s">
        <v>98</v>
      </c>
    </row>
    <row r="32" customFormat="false" ht="15" hidden="false" customHeight="false" outlineLevel="0" collapsed="false">
      <c r="A32" s="0" t="s">
        <v>99</v>
      </c>
      <c r="B32" s="15" t="n">
        <v>760</v>
      </c>
      <c r="C32" s="0" t="s">
        <v>95</v>
      </c>
      <c r="D32" s="7" t="s">
        <v>100</v>
      </c>
    </row>
    <row r="33" customFormat="false" ht="15" hidden="false" customHeight="false" outlineLevel="0" collapsed="false">
      <c r="A33" s="0" t="s">
        <v>101</v>
      </c>
      <c r="B33" s="15" t="n">
        <v>179</v>
      </c>
      <c r="C33" s="0" t="s">
        <v>102</v>
      </c>
      <c r="D33" s="7" t="s">
        <v>103</v>
      </c>
    </row>
    <row r="34" customFormat="false" ht="15" hidden="false" customHeight="false" outlineLevel="0" collapsed="false">
      <c r="A34" s="0" t="s">
        <v>104</v>
      </c>
      <c r="B34" s="15" t="n">
        <v>147</v>
      </c>
      <c r="C34" s="0" t="s">
        <v>102</v>
      </c>
      <c r="D34" s="7" t="s">
        <v>105</v>
      </c>
    </row>
    <row r="35" customFormat="false" ht="15" hidden="false" customHeight="false" outlineLevel="0" collapsed="false">
      <c r="A35" s="0" t="s">
        <v>106</v>
      </c>
      <c r="B35" s="16" t="n">
        <v>0.255</v>
      </c>
      <c r="C35" s="0" t="s">
        <v>107</v>
      </c>
      <c r="D35" s="7" t="s">
        <v>63</v>
      </c>
    </row>
    <row r="36" customFormat="false" ht="15" hidden="false" customHeight="false" outlineLevel="0" collapsed="false">
      <c r="A36" s="0" t="s">
        <v>108</v>
      </c>
      <c r="B36" s="15" t="n">
        <v>65</v>
      </c>
      <c r="C36" s="0" t="s">
        <v>109</v>
      </c>
      <c r="D36" s="7" t="s">
        <v>110</v>
      </c>
    </row>
    <row r="37" customFormat="false" ht="15" hidden="false" customHeight="false" outlineLevel="0" collapsed="false">
      <c r="A37" s="0" t="s">
        <v>111</v>
      </c>
      <c r="B37" s="15" t="n">
        <v>26.6</v>
      </c>
      <c r="C37" s="0" t="s">
        <v>109</v>
      </c>
      <c r="D37" s="7" t="s">
        <v>112</v>
      </c>
    </row>
    <row r="38" customFormat="false" ht="15" hidden="false" customHeight="false" outlineLevel="0" collapsed="false">
      <c r="A38" s="0" t="s">
        <v>113</v>
      </c>
      <c r="B38" s="15" t="n">
        <v>890</v>
      </c>
      <c r="C38" s="0" t="s">
        <v>95</v>
      </c>
      <c r="D38" s="7" t="s">
        <v>114</v>
      </c>
    </row>
    <row r="39" customFormat="false" ht="15" hidden="false" customHeight="false" outlineLevel="0" collapsed="false">
      <c r="A39" s="0" t="s">
        <v>115</v>
      </c>
      <c r="B39" s="15" t="n">
        <v>4300</v>
      </c>
      <c r="C39" s="0" t="s">
        <v>62</v>
      </c>
      <c r="D39" s="7" t="s">
        <v>116</v>
      </c>
    </row>
    <row r="40" customFormat="false" ht="15" hidden="false" customHeight="false" outlineLevel="0" collapsed="false">
      <c r="A40" s="0" t="s">
        <v>117</v>
      </c>
      <c r="B40" s="15" t="n">
        <v>18875</v>
      </c>
      <c r="C40" s="0" t="s">
        <v>95</v>
      </c>
      <c r="D40" s="7" t="s">
        <v>118</v>
      </c>
    </row>
    <row r="41" customFormat="false" ht="15" hidden="false" customHeight="false" outlineLevel="0" collapsed="false">
      <c r="A41" s="0" t="s">
        <v>119</v>
      </c>
      <c r="B41" s="15" t="n">
        <v>325</v>
      </c>
      <c r="C41" s="0" t="s">
        <v>120</v>
      </c>
      <c r="D41" s="7" t="s">
        <v>121</v>
      </c>
    </row>
    <row r="42" customFormat="false" ht="15" hidden="false" customHeight="false" outlineLevel="0" collapsed="false">
      <c r="A42" s="11" t="s">
        <v>122</v>
      </c>
    </row>
    <row r="43" customFormat="false" ht="15" hidden="false" customHeight="false" outlineLevel="0" collapsed="false">
      <c r="A43" s="0" t="s">
        <v>123</v>
      </c>
      <c r="B43" s="17" t="n">
        <v>3.9</v>
      </c>
      <c r="C43" s="0" t="s">
        <v>52</v>
      </c>
      <c r="D43" s="7" t="s">
        <v>124</v>
      </c>
    </row>
    <row r="44" customFormat="false" ht="15" hidden="false" customHeight="false" outlineLevel="0" collapsed="false">
      <c r="A44" s="0" t="s">
        <v>125</v>
      </c>
      <c r="B44" s="17" t="n">
        <v>2.91</v>
      </c>
      <c r="C44" s="0" t="s">
        <v>52</v>
      </c>
      <c r="D44" s="7" t="s">
        <v>126</v>
      </c>
    </row>
    <row r="45" customFormat="false" ht="15" hidden="false" customHeight="false" outlineLevel="0" collapsed="false">
      <c r="A45" s="0" t="s">
        <v>127</v>
      </c>
      <c r="B45" s="18" t="n">
        <v>0.375</v>
      </c>
      <c r="C45" s="0" t="s">
        <v>107</v>
      </c>
      <c r="D45" s="7" t="s">
        <v>128</v>
      </c>
    </row>
    <row r="46" customFormat="false" ht="15" hidden="false" customHeight="false" outlineLevel="0" collapsed="false">
      <c r="A46" s="0" t="s">
        <v>129</v>
      </c>
      <c r="B46" s="18" t="n">
        <v>0.35</v>
      </c>
      <c r="C46" s="0" t="s">
        <v>107</v>
      </c>
      <c r="D46" s="7" t="s">
        <v>130</v>
      </c>
    </row>
    <row r="47" customFormat="false" ht="15" hidden="false" customHeight="false" outlineLevel="0" collapsed="false">
      <c r="A47" s="0" t="s">
        <v>131</v>
      </c>
      <c r="B47" s="18" t="n">
        <v>0.93</v>
      </c>
      <c r="C47" s="0" t="s">
        <v>107</v>
      </c>
      <c r="D47" s="7" t="s">
        <v>132</v>
      </c>
    </row>
    <row r="48" customFormat="false" ht="15" hidden="false" customHeight="false" outlineLevel="0" collapsed="false">
      <c r="A48" s="0" t="s">
        <v>133</v>
      </c>
      <c r="B48" s="19" t="n">
        <v>20</v>
      </c>
      <c r="C48" s="0" t="s">
        <v>134</v>
      </c>
      <c r="D48" s="7" t="s">
        <v>135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2"/>
    <col collapsed="false" customWidth="true" hidden="false" outlineLevel="0" max="7" min="2" style="0" width="13"/>
  </cols>
  <sheetData>
    <row r="1" customFormat="false" ht="15" hidden="false" customHeight="false" outlineLevel="0" collapsed="false">
      <c r="A1" s="1" t="s">
        <v>136</v>
      </c>
    </row>
    <row r="2" customFormat="false" ht="1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3" t="s">
        <v>137</v>
      </c>
      <c r="B4" s="4" t="s">
        <v>138</v>
      </c>
      <c r="C4" s="4" t="s">
        <v>139</v>
      </c>
      <c r="D4" s="4" t="s">
        <v>140</v>
      </c>
      <c r="E4" s="4" t="s">
        <v>141</v>
      </c>
      <c r="F4" s="4" t="s">
        <v>142</v>
      </c>
      <c r="G4" s="4" t="s">
        <v>143</v>
      </c>
    </row>
    <row r="5" customFormat="false" ht="15" hidden="false" customHeight="false" outlineLevel="0" collapsed="false">
      <c r="A5" s="5" t="s">
        <v>144</v>
      </c>
      <c r="D5" s="9" t="n">
        <f aca="false">Assumptions!$B$22</f>
        <v>6.7</v>
      </c>
      <c r="E5" s="9" t="n">
        <f aca="false">Assumptions!$B$23</f>
        <v>7.65</v>
      </c>
      <c r="F5" s="20" t="n">
        <f aca="false">SQRT(Assumptions!$B$23*Assumptions!$B$24)</f>
        <v>9.44047138653574</v>
      </c>
      <c r="G5" s="9" t="n">
        <f aca="false">Assumptions!$B$24</f>
        <v>11.65</v>
      </c>
    </row>
    <row r="6" customFormat="false" ht="15" hidden="false" customHeight="false" outlineLevel="0" collapsed="false">
      <c r="A6" s="21" t="s">
        <v>145</v>
      </c>
      <c r="D6" s="22" t="n">
        <f aca="false">1-D5/D7</f>
        <v>0.446280991735537</v>
      </c>
      <c r="E6" s="10" t="n">
        <f aca="false">Assumptions!$B$45</f>
        <v>0.375</v>
      </c>
      <c r="F6" s="10" t="n">
        <f aca="false">Assumptions!$B$46</f>
        <v>0.35</v>
      </c>
    </row>
    <row r="7" customFormat="false" ht="15" hidden="false" customHeight="false" outlineLevel="0" collapsed="false">
      <c r="A7" s="5" t="s">
        <v>146</v>
      </c>
      <c r="B7" s="9" t="n">
        <f aca="false">Assumptions!$B$18</f>
        <v>8.67</v>
      </c>
      <c r="C7" s="9" t="n">
        <f aca="false">Assumptions!$B$19</f>
        <v>9.39</v>
      </c>
      <c r="D7" s="23" t="n">
        <f aca="false">Assumptions!$B$20+Assumptions!$B$21+Assumptions!$B$43+Assumptions!$B$44</f>
        <v>12.1</v>
      </c>
      <c r="E7" s="23" t="n">
        <f aca="false">E5/(1-E6)</f>
        <v>12.24</v>
      </c>
      <c r="F7" s="23" t="n">
        <f aca="false">F5/(1-F6)</f>
        <v>14.5238021331319</v>
      </c>
    </row>
    <row r="8" customFormat="false" ht="15" hidden="false" customHeight="false" outlineLevel="0" collapsed="false">
      <c r="A8" s="21" t="s">
        <v>147</v>
      </c>
      <c r="C8" s="22" t="n">
        <f aca="false">C7/B7-1</f>
        <v>0.0830449826989621</v>
      </c>
      <c r="D8" s="22" t="n">
        <f aca="false">D7/C7-1</f>
        <v>0.288604898828541</v>
      </c>
      <c r="E8" s="22" t="n">
        <f aca="false">E7/D7-1</f>
        <v>0.0115702479338844</v>
      </c>
      <c r="F8" s="22" t="n">
        <f aca="false">F7/E7-1</f>
        <v>0.186585141595744</v>
      </c>
    </row>
    <row r="9" customFormat="false" ht="15" hidden="false" customHeight="false" outlineLevel="0" collapsed="false">
      <c r="A9" s="21" t="s">
        <v>148</v>
      </c>
      <c r="D9" s="20" t="n">
        <f aca="false">D7-D5</f>
        <v>5.4</v>
      </c>
      <c r="E9" s="20" t="n">
        <f aca="false">E7-E5</f>
        <v>4.59</v>
      </c>
      <c r="F9" s="20" t="n">
        <f aca="false">F7-F5</f>
        <v>5.08333074659617</v>
      </c>
    </row>
    <row r="10" customFormat="false" ht="15" hidden="false" customHeight="false" outlineLevel="0" collapsed="false">
      <c r="A10" s="21" t="s">
        <v>149</v>
      </c>
      <c r="D10" s="20" t="n">
        <f aca="false">(Assumptions!$B$16+Assumptions!$B$17)/2</f>
        <v>12</v>
      </c>
      <c r="E10" s="9" t="n">
        <f aca="false">Assumptions!$B$27</f>
        <v>13.32</v>
      </c>
    </row>
    <row r="11" customFormat="false" ht="15" hidden="false" customHeight="false" outlineLevel="0" collapsed="false">
      <c r="A11" s="21" t="s">
        <v>150</v>
      </c>
      <c r="D11" s="22" t="n">
        <f aca="false">D7/D10-1</f>
        <v>0.0083333333333333</v>
      </c>
      <c r="E11" s="22" t="n">
        <f aca="false">E7/E10-1</f>
        <v>-0.081081081081081</v>
      </c>
    </row>
    <row r="12" customFormat="false" ht="15" hidden="false" customHeight="false" outlineLevel="0" collapsed="false">
      <c r="A12" s="21" t="s">
        <v>151</v>
      </c>
      <c r="G12" s="20" t="n">
        <f aca="false">G5/(1-0.325)</f>
        <v>17.2592592592593</v>
      </c>
    </row>
    <row r="14" customFormat="false" ht="15" hidden="false" customHeight="false" outlineLevel="0" collapsed="false">
      <c r="A14" s="0" t="s">
        <v>152</v>
      </c>
      <c r="B14" s="22" t="n">
        <f aca="false">E10/E7-1</f>
        <v>0.088235294117647</v>
      </c>
    </row>
    <row r="15" customFormat="false" ht="15" hidden="false" customHeight="false" outlineLevel="0" collapsed="false">
      <c r="A15" s="0" t="s">
        <v>153</v>
      </c>
      <c r="B15" s="22" t="n">
        <f aca="false">(Assumptions!$B$24/Assumptions!$B$22)^(1/3)-1</f>
        <v>0.202496185925147</v>
      </c>
    </row>
    <row r="16" customFormat="false" ht="15" hidden="false" customHeight="false" outlineLevel="0" collapsed="false">
      <c r="A16" s="0" t="s">
        <v>154</v>
      </c>
      <c r="B16" s="20" t="n">
        <f aca="false">Valuation!B23/(F7/E7)</f>
        <v>12.8211195865311</v>
      </c>
    </row>
    <row r="17" customFormat="false" ht="15" hidden="false" customHeight="false" outlineLevel="0" collapsed="false">
      <c r="A17" s="0" t="s">
        <v>155</v>
      </c>
      <c r="B17" s="24" t="n">
        <v>13</v>
      </c>
    </row>
    <row r="18" customFormat="false" ht="15" hidden="false" customHeight="false" outlineLevel="0" collapsed="false">
      <c r="A18" s="0" t="s">
        <v>156</v>
      </c>
      <c r="B18" s="20" t="n">
        <f aca="false">B17*F7/E7*Assumptions!$B$48</f>
        <v>308.512136814893</v>
      </c>
    </row>
    <row r="19" customFormat="false" ht="15" hidden="false" customHeight="false" outlineLevel="0" collapsed="false">
      <c r="A19" s="0" t="s">
        <v>157</v>
      </c>
      <c r="B19" s="20" t="n">
        <f aca="false">SQRT(B17*(1-Assumptions!$B$45)*Assumptions!$B$24)/(1-Assumptions!$B$46)*Assumptions!$B$48</f>
        <v>299.358288035231</v>
      </c>
    </row>
    <row r="21" customFormat="false" ht="15" hidden="false" customHeight="false" outlineLevel="0" collapsed="false">
      <c r="A21" s="12" t="s">
        <v>158</v>
      </c>
    </row>
    <row r="22" customFormat="false" ht="15" hidden="false" customHeight="false" outlineLevel="0" collapsed="false">
      <c r="A22" s="12" t="s">
        <v>159</v>
      </c>
    </row>
    <row r="23" customFormat="false" ht="15" hidden="false" customHeight="false" outlineLevel="0" collapsed="false">
      <c r="A23" s="12" t="s">
        <v>160</v>
      </c>
    </row>
    <row r="24" customFormat="false" ht="15" hidden="false" customHeight="false" outlineLevel="0" collapsed="false">
      <c r="A24" s="12" t="s">
        <v>161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4"/>
    <col collapsed="false" customWidth="true" hidden="false" outlineLevel="0" max="2" min="2" style="0" width="16"/>
    <col collapsed="false" customWidth="true" hidden="false" outlineLevel="0" max="3" min="3" style="0" width="70"/>
  </cols>
  <sheetData>
    <row r="1" customFormat="false" ht="15" hidden="false" customHeight="false" outlineLevel="0" collapsed="false">
      <c r="A1" s="1" t="s">
        <v>162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s">
        <v>3</v>
      </c>
      <c r="C4" s="4" t="s">
        <v>163</v>
      </c>
    </row>
    <row r="5" customFormat="false" ht="15" hidden="false" customHeight="false" outlineLevel="0" collapsed="false">
      <c r="A5" s="0" t="s">
        <v>17</v>
      </c>
      <c r="B5" s="9" t="n">
        <f aca="false">Earnings!F7</f>
        <v>14.5238021331319</v>
      </c>
      <c r="C5" s="7" t="s">
        <v>18</v>
      </c>
    </row>
    <row r="6" customFormat="false" ht="15" hidden="false" customHeight="false" outlineLevel="0" collapsed="false">
      <c r="A6" s="0" t="s">
        <v>164</v>
      </c>
      <c r="B6" s="25" t="n">
        <f aca="false">Assumptions!$B$48</f>
        <v>20</v>
      </c>
      <c r="C6" s="7" t="s">
        <v>165</v>
      </c>
    </row>
    <row r="7" customFormat="false" ht="15" hidden="false" customHeight="false" outlineLevel="0" collapsed="false">
      <c r="A7" s="5" t="s">
        <v>166</v>
      </c>
      <c r="B7" s="23" t="n">
        <f aca="false">B5*B6</f>
        <v>290.476042662638</v>
      </c>
      <c r="C7" s="7"/>
    </row>
    <row r="8" customFormat="false" ht="15" hidden="false" customHeight="false" outlineLevel="0" collapsed="false">
      <c r="A8" s="0" t="s">
        <v>12</v>
      </c>
      <c r="B8" s="9" t="n">
        <f aca="false">Assumptions!$B$7</f>
        <v>264.58</v>
      </c>
      <c r="C8" s="7" t="s">
        <v>13</v>
      </c>
    </row>
    <row r="9" customFormat="false" ht="15" hidden="false" customHeight="false" outlineLevel="0" collapsed="false">
      <c r="A9" s="0" t="s">
        <v>14</v>
      </c>
      <c r="B9" s="22" t="n">
        <f aca="false">B7/B8-1</f>
        <v>0.0978760399978764</v>
      </c>
      <c r="C9" s="7" t="s">
        <v>167</v>
      </c>
    </row>
    <row r="10" customFormat="false" ht="15" hidden="false" customHeight="false" outlineLevel="0" collapsed="false">
      <c r="A10" s="5" t="s">
        <v>168</v>
      </c>
      <c r="B10" s="26" t="str">
        <f aca="false">IF(B9&gt;=0.15,"LONG",IF(B9&lt;=-0.25,"SHORT","NO CALL"))</f>
        <v>NO CALL</v>
      </c>
      <c r="C10" s="7" t="s">
        <v>169</v>
      </c>
    </row>
    <row r="11" customFormat="false" ht="15" hidden="false" customHeight="false" outlineLevel="0" collapsed="false">
      <c r="A11" s="0" t="s">
        <v>170</v>
      </c>
      <c r="B11" s="24" t="s">
        <v>171</v>
      </c>
      <c r="C11" s="7" t="s">
        <v>172</v>
      </c>
    </row>
    <row r="12" customFormat="false" ht="15" hidden="false" customHeight="false" outlineLevel="0" collapsed="false">
      <c r="A12" s="0" t="s">
        <v>173</v>
      </c>
      <c r="B12" s="22" t="str">
        <f aca="false">IF(ISNUMBER(B11),B11/B8-1,"n.a.")</f>
        <v>n.a.</v>
      </c>
      <c r="C12" s="7"/>
    </row>
    <row r="14" customFormat="false" ht="15" hidden="false" customHeight="false" outlineLevel="0" collapsed="false">
      <c r="A14" s="0" t="s">
        <v>174</v>
      </c>
      <c r="B14" s="27" t="n">
        <f aca="false">Assumptions!$B$10*B8/1000</f>
        <v>93.7433398</v>
      </c>
      <c r="C14" s="7" t="s">
        <v>175</v>
      </c>
    </row>
    <row r="15" customFormat="false" ht="15" hidden="false" customHeight="false" outlineLevel="0" collapsed="false">
      <c r="A15" s="0" t="s">
        <v>176</v>
      </c>
      <c r="B15" s="28" t="n">
        <f aca="false">Assumptions!$B$12-Assumptions!$B$11</f>
        <v>24003</v>
      </c>
      <c r="C15" s="7" t="s">
        <v>177</v>
      </c>
    </row>
    <row r="16" customFormat="false" ht="15" hidden="false" customHeight="false" outlineLevel="0" collapsed="false">
      <c r="A16" s="0" t="s">
        <v>178</v>
      </c>
      <c r="B16" s="29" t="n">
        <f aca="false">B14+(B15+Assumptions!$B$13)/1000</f>
        <v>118.0913398</v>
      </c>
      <c r="C16" s="7" t="s">
        <v>179</v>
      </c>
    </row>
    <row r="17" customFormat="false" ht="15" hidden="false" customHeight="false" outlineLevel="0" collapsed="false">
      <c r="A17" s="0" t="s">
        <v>180</v>
      </c>
      <c r="B17" s="30" t="n">
        <f aca="false">B8/Earnings!D10</f>
        <v>22.0483333333333</v>
      </c>
      <c r="C17" s="7"/>
    </row>
    <row r="18" customFormat="false" ht="15" hidden="false" customHeight="false" outlineLevel="0" collapsed="false">
      <c r="A18" s="0" t="s">
        <v>181</v>
      </c>
      <c r="B18" s="30" t="n">
        <f aca="false">B8/Earnings!D7</f>
        <v>21.8661157024793</v>
      </c>
      <c r="C18" s="7"/>
    </row>
    <row r="19" customFormat="false" ht="15" hidden="false" customHeight="false" outlineLevel="0" collapsed="false">
      <c r="A19" s="0" t="s">
        <v>182</v>
      </c>
      <c r="B19" s="30" t="n">
        <f aca="false">B8/Assumptions!$B$27</f>
        <v>19.8633633633634</v>
      </c>
      <c r="C19" s="7" t="s">
        <v>183</v>
      </c>
    </row>
    <row r="20" customFormat="false" ht="15" hidden="false" customHeight="false" outlineLevel="0" collapsed="false">
      <c r="A20" s="0" t="s">
        <v>184</v>
      </c>
      <c r="B20" s="30" t="n">
        <f aca="false">B8/Earnings!E7</f>
        <v>21.6160130718954</v>
      </c>
      <c r="C20" s="7"/>
    </row>
    <row r="21" customFormat="false" ht="15" hidden="false" customHeight="false" outlineLevel="0" collapsed="false">
      <c r="A21" s="0" t="s">
        <v>185</v>
      </c>
      <c r="B21" s="30" t="n">
        <f aca="false">B8/Earnings!F7</f>
        <v>18.2169928765716</v>
      </c>
      <c r="C21" s="7"/>
    </row>
    <row r="22" customFormat="false" ht="15" hidden="false" customHeight="false" outlineLevel="0" collapsed="false">
      <c r="A22" s="0" t="s">
        <v>186</v>
      </c>
      <c r="B22" s="30" t="n">
        <f aca="false">B8*1.15/B5</f>
        <v>20.9495418080574</v>
      </c>
      <c r="C22" s="7"/>
    </row>
    <row r="23" customFormat="false" ht="15" hidden="false" customHeight="false" outlineLevel="0" collapsed="false">
      <c r="A23" s="0" t="s">
        <v>187</v>
      </c>
      <c r="B23" s="20" t="n">
        <f aca="false">B8*1.15/B6</f>
        <v>15.21335</v>
      </c>
      <c r="C23" s="7"/>
    </row>
    <row r="24" customFormat="false" ht="15" hidden="false" customHeight="false" outlineLevel="0" collapsed="false">
      <c r="A24" s="0" t="s">
        <v>188</v>
      </c>
      <c r="B24" s="20" t="n">
        <f aca="false">B7/1.15</f>
        <v>252.587863184903</v>
      </c>
      <c r="C24" s="7" t="s">
        <v>189</v>
      </c>
    </row>
    <row r="25" customFormat="false" ht="15" hidden="false" customHeight="false" outlineLevel="0" collapsed="false">
      <c r="A25" s="0" t="s">
        <v>190</v>
      </c>
      <c r="B25" s="20" t="n">
        <f aca="false">B7/0.75</f>
        <v>387.301390216851</v>
      </c>
      <c r="C25" s="7" t="s">
        <v>191</v>
      </c>
    </row>
    <row r="26" customFormat="false" ht="15" hidden="false" customHeight="false" outlineLevel="0" collapsed="false">
      <c r="A26" s="0" t="s">
        <v>192</v>
      </c>
      <c r="B26" s="22" t="n">
        <f aca="false">B8/Assumptions!$B$8-1</f>
        <v>-0.345017947765813</v>
      </c>
      <c r="C26" s="7"/>
    </row>
    <row r="27" customFormat="false" ht="15" hidden="false" customHeight="false" outlineLevel="0" collapsed="false">
      <c r="A27" s="0" t="s">
        <v>193</v>
      </c>
      <c r="B27" s="22" t="n">
        <f aca="false">B8/Assumptions!$B$9-1</f>
        <v>-0.251054434285391</v>
      </c>
      <c r="C27" s="7"/>
    </row>
    <row r="28" customFormat="false" ht="15" hidden="false" customHeight="false" outlineLevel="0" collapsed="false">
      <c r="A28" s="0" t="s">
        <v>194</v>
      </c>
      <c r="B28" s="10" t="n">
        <f aca="false">Assumptions!$B$28/B8-1</f>
        <v>0.281691737848666</v>
      </c>
      <c r="C28" s="7" t="s">
        <v>195</v>
      </c>
    </row>
    <row r="29" customFormat="false" ht="15" hidden="false" customHeight="false" outlineLevel="0" collapsed="false">
      <c r="A29" s="0" t="s">
        <v>196</v>
      </c>
      <c r="B29" s="31" t="n">
        <f aca="false">0.4265*4/B8</f>
        <v>0.00644795524982992</v>
      </c>
      <c r="C29" s="7" t="s">
        <v>197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0"/>
    <col collapsed="false" customWidth="true" hidden="false" outlineLevel="0" max="3" min="2" style="0" width="16"/>
    <col collapsed="false" customWidth="true" hidden="false" outlineLevel="0" max="4" min="4" style="0" width="12"/>
    <col collapsed="false" customWidth="true" hidden="false" outlineLevel="0" max="6" min="5" style="0" width="14"/>
    <col collapsed="false" customWidth="true" hidden="false" outlineLevel="0" max="7" min="7" style="0" width="12"/>
  </cols>
  <sheetData>
    <row r="1" customFormat="false" ht="15" hidden="false" customHeight="false" outlineLevel="0" collapsed="false">
      <c r="A1" s="1" t="s">
        <v>198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199</v>
      </c>
      <c r="B4" s="4" t="s">
        <v>200</v>
      </c>
      <c r="C4" s="4" t="s">
        <v>201</v>
      </c>
      <c r="D4" s="4" t="s">
        <v>202</v>
      </c>
      <c r="E4" s="4" t="s">
        <v>203</v>
      </c>
      <c r="F4" s="4" t="s">
        <v>204</v>
      </c>
      <c r="G4" s="4" t="s">
        <v>205</v>
      </c>
    </row>
    <row r="5" customFormat="false" ht="15" hidden="false" customHeight="false" outlineLevel="0" collapsed="false">
      <c r="A5" s="5" t="s">
        <v>206</v>
      </c>
      <c r="B5" s="17" t="n">
        <v>8.6</v>
      </c>
      <c r="C5" s="18" t="n">
        <v>0.3</v>
      </c>
      <c r="D5" s="19" t="n">
        <v>15</v>
      </c>
      <c r="E5" s="32" t="n">
        <f aca="false">B5/(1-C5)</f>
        <v>12.2857142857143</v>
      </c>
      <c r="F5" s="32" t="n">
        <f aca="false">E5*D5</f>
        <v>184.285714285714</v>
      </c>
      <c r="G5" s="33" t="n">
        <f aca="false">F5/Assumptions!$B$7-1</f>
        <v>-0.303478289040312</v>
      </c>
    </row>
    <row r="6" customFormat="false" ht="15" hidden="false" customHeight="false" outlineLevel="0" collapsed="false">
      <c r="A6" s="5" t="s">
        <v>207</v>
      </c>
      <c r="B6" s="34" t="n">
        <f aca="false">Earnings!F5</f>
        <v>9.44047138653574</v>
      </c>
      <c r="C6" s="35" t="n">
        <f aca="false">Assumptions!$B$46</f>
        <v>0.35</v>
      </c>
      <c r="D6" s="36" t="n">
        <f aca="false">Assumptions!$B$48</f>
        <v>20</v>
      </c>
      <c r="E6" s="32" t="n">
        <f aca="false">B6/(1-C6)</f>
        <v>14.5238021331319</v>
      </c>
      <c r="F6" s="32" t="n">
        <f aca="false">E6*D6</f>
        <v>290.476042662638</v>
      </c>
      <c r="G6" s="33" t="n">
        <f aca="false">F6/Assumptions!$B$7-1</f>
        <v>0.0978760399978764</v>
      </c>
    </row>
    <row r="7" customFormat="false" ht="15" hidden="false" customHeight="false" outlineLevel="0" collapsed="false">
      <c r="A7" s="5" t="s">
        <v>208</v>
      </c>
      <c r="B7" s="17" t="n">
        <v>9.94</v>
      </c>
      <c r="C7" s="18" t="n">
        <v>0.4</v>
      </c>
      <c r="D7" s="19" t="n">
        <v>23</v>
      </c>
      <c r="E7" s="32" t="n">
        <f aca="false">B7/(1-C7)</f>
        <v>16.5666666666667</v>
      </c>
      <c r="F7" s="32" t="n">
        <f aca="false">E7*D7</f>
        <v>381.033333333333</v>
      </c>
      <c r="G7" s="33" t="n">
        <f aca="false">F7/Assumptions!$B$7-1</f>
        <v>0.440144127800035</v>
      </c>
    </row>
    <row r="8" customFormat="false" ht="15" hidden="false" customHeight="false" outlineLevel="0" collapsed="false">
      <c r="B8" s="5" t="s">
        <v>206</v>
      </c>
      <c r="C8" s="5" t="s">
        <v>207</v>
      </c>
      <c r="D8" s="5" t="s">
        <v>208</v>
      </c>
    </row>
    <row r="9" customFormat="false" ht="15" hidden="false" customHeight="false" outlineLevel="0" collapsed="false">
      <c r="A9" s="5" t="s">
        <v>209</v>
      </c>
      <c r="B9" s="37" t="n">
        <v>0.25</v>
      </c>
      <c r="C9" s="37" t="n">
        <v>0.5</v>
      </c>
      <c r="D9" s="37" t="n">
        <v>0.25</v>
      </c>
      <c r="E9" s="38" t="n">
        <f aca="false">SUM(B9:D9)</f>
        <v>1</v>
      </c>
      <c r="F9" s="12" t="s">
        <v>210</v>
      </c>
    </row>
    <row r="11" customFormat="false" ht="15" hidden="false" customHeight="false" outlineLevel="0" collapsed="false">
      <c r="A11" s="5" t="s">
        <v>15</v>
      </c>
      <c r="E11" s="39" t="n">
        <f aca="false">B9*F5+C9*F6+D9*F7</f>
        <v>286.567783236081</v>
      </c>
      <c r="F11" s="33" t="n">
        <f aca="false">E11/Assumptions!$B$7-1</f>
        <v>0.0831044796888691</v>
      </c>
    </row>
    <row r="12" customFormat="false" ht="15" hidden="false" customHeight="false" outlineLevel="0" collapsed="false">
      <c r="A12" s="0" t="s">
        <v>211</v>
      </c>
      <c r="E12" s="40" t="n">
        <f aca="false">F6-Valuation!B7</f>
        <v>0</v>
      </c>
    </row>
    <row r="13" customFormat="false" ht="15" hidden="false" customHeight="false" outlineLevel="0" collapsed="false">
      <c r="A13" s="0" t="s">
        <v>212</v>
      </c>
      <c r="E13" s="32" t="n">
        <f aca="false">2.7*Assumptions!$B$25/2</f>
        <v>0.54</v>
      </c>
    </row>
    <row r="15" customFormat="false" ht="15" hidden="false" customHeight="false" outlineLevel="0" collapsed="false">
      <c r="A15" s="12" t="s">
        <v>213</v>
      </c>
    </row>
    <row r="16" customFormat="false" ht="15" hidden="false" customHeight="false" outlineLevel="0" collapsed="false">
      <c r="A16" s="12" t="s">
        <v>214</v>
      </c>
    </row>
    <row r="17" customFormat="false" ht="15" hidden="false" customHeight="false" outlineLevel="0" collapsed="false">
      <c r="A17" s="12" t="s">
        <v>215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4" min="2" style="0" width="14"/>
  </cols>
  <sheetData>
    <row r="1" customFormat="false" ht="15" hidden="false" customHeight="false" outlineLevel="0" collapsed="false">
      <c r="A1" s="1" t="s">
        <v>216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217</v>
      </c>
      <c r="B4" s="41" t="n">
        <v>17</v>
      </c>
      <c r="C4" s="41" t="n">
        <f aca="false">Assumptions!$B$48</f>
        <v>20</v>
      </c>
      <c r="D4" s="41" t="n">
        <v>23</v>
      </c>
    </row>
    <row r="5" customFormat="false" ht="15" hidden="false" customHeight="false" outlineLevel="0" collapsed="false">
      <c r="A5" s="13" t="n">
        <v>12.5</v>
      </c>
      <c r="B5" s="42" t="n">
        <f aca="false">$A5*B$4</f>
        <v>212.5</v>
      </c>
      <c r="C5" s="42" t="n">
        <f aca="false">$A5*C$4</f>
        <v>250</v>
      </c>
      <c r="D5" s="42" t="n">
        <f aca="false">$A5*D$4</f>
        <v>287.5</v>
      </c>
    </row>
    <row r="6" customFormat="false" ht="15" hidden="false" customHeight="false" outlineLevel="0" collapsed="false">
      <c r="A6" s="34" t="n">
        <f aca="false">Earnings!F7</f>
        <v>14.5238021331319</v>
      </c>
      <c r="B6" s="42" t="n">
        <f aca="false">$A6*B$4</f>
        <v>246.904636263242</v>
      </c>
      <c r="C6" s="43" t="n">
        <f aca="false">$A6*C$4</f>
        <v>290.476042662638</v>
      </c>
      <c r="D6" s="42" t="n">
        <f aca="false">$A6*D$4</f>
        <v>334.047449062034</v>
      </c>
    </row>
    <row r="7" customFormat="false" ht="15" hidden="false" customHeight="false" outlineLevel="0" collapsed="false">
      <c r="A7" s="13" t="n">
        <v>16.5</v>
      </c>
      <c r="B7" s="42" t="n">
        <f aca="false">$A7*B$4</f>
        <v>280.5</v>
      </c>
      <c r="C7" s="42" t="n">
        <f aca="false">$A7*C$4</f>
        <v>330</v>
      </c>
      <c r="D7" s="42" t="n">
        <f aca="false">$A7*D$4</f>
        <v>379.5</v>
      </c>
    </row>
    <row r="9" customFormat="false" ht="15" hidden="false" customHeight="false" outlineLevel="0" collapsed="false">
      <c r="A9" s="5" t="s">
        <v>218</v>
      </c>
      <c r="B9" s="0" t="n">
        <f aca="false">COUNTIF(B5:D7,"&gt;"&amp;Assumptions!$B$7)</f>
        <v>6</v>
      </c>
      <c r="C9" s="0" t="s">
        <v>219</v>
      </c>
    </row>
    <row r="10" customFormat="false" ht="15" hidden="false" customHeight="false" outlineLevel="0" collapsed="false">
      <c r="A10" s="5" t="s">
        <v>220</v>
      </c>
      <c r="B10" s="0" t="n">
        <f aca="false">COUNTIF(B5:D7,"&gt;="&amp;Assumptions!$B$7*1.15)</f>
        <v>3</v>
      </c>
      <c r="C10" s="0" t="s">
        <v>219</v>
      </c>
    </row>
    <row r="11" customFormat="false" ht="15" hidden="false" customHeight="false" outlineLevel="0" collapsed="false">
      <c r="A11" s="5" t="s">
        <v>221</v>
      </c>
      <c r="B11" s="0" t="n">
        <f aca="false">COUNTIF(B5:D7,"&lt;="&amp;Assumptions!$B$7*0.75)</f>
        <v>0</v>
      </c>
      <c r="C11" s="0" t="s">
        <v>219</v>
      </c>
    </row>
    <row r="13" customFormat="false" ht="15" hidden="false" customHeight="false" outlineLevel="0" collapsed="false">
      <c r="A13" s="12" t="s">
        <v>222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70"/>
    <col collapsed="false" customWidth="true" hidden="false" outlineLevel="0" max="2" min="2" style="0" width="16"/>
    <col collapsed="false" customWidth="true" hidden="false" outlineLevel="0" max="3" min="3" style="0" width="70"/>
  </cols>
  <sheetData>
    <row r="1" customFormat="false" ht="15" hidden="false" customHeight="false" outlineLevel="0" collapsed="false">
      <c r="A1" s="1" t="s">
        <v>223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s">
        <v>3</v>
      </c>
      <c r="C4" s="4" t="s">
        <v>4</v>
      </c>
    </row>
    <row r="5" customFormat="false" ht="15" hidden="false" customHeight="false" outlineLevel="0" collapsed="false">
      <c r="A5" s="0" t="s">
        <v>224</v>
      </c>
      <c r="B5" s="44" t="n">
        <f aca="false">Assumptions!$B$30*8760*Assumptions!$B$47/1000000</f>
        <v>6.802578</v>
      </c>
      <c r="C5" s="7" t="s">
        <v>225</v>
      </c>
    </row>
    <row r="6" customFormat="false" ht="15" hidden="false" customHeight="false" outlineLevel="0" collapsed="false">
      <c r="A6" s="0" t="s">
        <v>226</v>
      </c>
      <c r="B6" s="22" t="n">
        <f aca="false">B5/Assumptions!$B$33</f>
        <v>0.0380032290502793</v>
      </c>
      <c r="C6" s="7"/>
    </row>
    <row r="7" customFormat="false" ht="15" hidden="false" customHeight="false" outlineLevel="0" collapsed="false">
      <c r="A7" s="0" t="s">
        <v>227</v>
      </c>
      <c r="B7" s="45" t="n">
        <f aca="false">B5*1000000*10*(1-Assumptions!$B$35)/(Assumptions!$B$10*1000000)</f>
        <v>0.143036341339505</v>
      </c>
      <c r="C7" s="7" t="s">
        <v>228</v>
      </c>
    </row>
    <row r="8" customFormat="false" ht="15" hidden="false" customHeight="false" outlineLevel="0" collapsed="false">
      <c r="A8" s="0" t="s">
        <v>229</v>
      </c>
      <c r="B8" s="46" t="n">
        <f aca="false">Assumptions!$B$31*1000/Assumptions!$B$30</f>
        <v>1916.16766467066</v>
      </c>
      <c r="C8" s="7" t="s">
        <v>230</v>
      </c>
    </row>
    <row r="9" customFormat="false" ht="15" hidden="false" customHeight="false" outlineLevel="0" collapsed="false">
      <c r="A9" s="0" t="s">
        <v>231</v>
      </c>
      <c r="B9" s="30" t="n">
        <f aca="false">Assumptions!$B$36/Assumptions!$B$37</f>
        <v>2.44360902255639</v>
      </c>
      <c r="C9" s="7" t="s">
        <v>232</v>
      </c>
    </row>
    <row r="10" customFormat="false" ht="15" hidden="false" customHeight="false" outlineLevel="0" collapsed="false">
      <c r="A10" s="0" t="s">
        <v>233</v>
      </c>
      <c r="B10" s="46" t="n">
        <f aca="false">Assumptions!$B$39*1000/Assumptions!$B$38</f>
        <v>4831.4606741573</v>
      </c>
      <c r="C10" s="7" t="s">
        <v>234</v>
      </c>
    </row>
    <row r="11" customFormat="false" ht="15" hidden="false" customHeight="false" outlineLevel="0" collapsed="false">
      <c r="A11" s="0" t="s">
        <v>235</v>
      </c>
      <c r="B11" s="22" t="n">
        <f aca="false">Assumptions!$B$32/Assumptions!$B$30</f>
        <v>0.910179640718563</v>
      </c>
      <c r="C11" s="7"/>
    </row>
    <row r="12" customFormat="false" ht="15" hidden="false" customHeight="false" outlineLevel="0" collapsed="false">
      <c r="A12" s="0" t="s">
        <v>236</v>
      </c>
      <c r="B12" s="46" t="n">
        <f aca="false">Assumptions!$B$40*Assumptions!$B$41*365/1000000</f>
        <v>2239.046875</v>
      </c>
      <c r="C12" s="7" t="s">
        <v>237</v>
      </c>
    </row>
    <row r="14" customFormat="false" ht="15" hidden="false" customHeight="false" outlineLevel="0" collapsed="false">
      <c r="A14" s="12" t="s">
        <v>238</v>
      </c>
    </row>
    <row r="15" customFormat="false" ht="15" hidden="false" customHeight="false" outlineLevel="0" collapsed="false">
      <c r="A15" s="12" t="s">
        <v>239</v>
      </c>
    </row>
    <row r="16" customFormat="false" ht="15" hidden="false" customHeight="false" outlineLevel="0" collapsed="false">
      <c r="A16" s="12" t="s">
        <v>240</v>
      </c>
    </row>
    <row r="17" customFormat="false" ht="15" hidden="false" customHeight="false" outlineLevel="0" collapsed="false">
      <c r="A17" s="12" t="s">
        <v>241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14"/>
    <col collapsed="false" customWidth="true" hidden="false" outlineLevel="0" max="3" min="3" style="0" width="13"/>
    <col collapsed="false" customWidth="true" hidden="false" outlineLevel="0" max="4" min="4" style="0" width="14"/>
    <col collapsed="false" customWidth="true" hidden="false" outlineLevel="0" max="5" min="5" style="0" width="70"/>
  </cols>
  <sheetData>
    <row r="1" customFormat="false" ht="15" hidden="false" customHeight="false" outlineLevel="0" collapsed="false">
      <c r="A1" s="1" t="s">
        <v>242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243</v>
      </c>
      <c r="B4" s="4" t="s">
        <v>244</v>
      </c>
      <c r="C4" s="4" t="s">
        <v>245</v>
      </c>
      <c r="D4" s="4" t="s">
        <v>246</v>
      </c>
      <c r="E4" s="4" t="s">
        <v>247</v>
      </c>
    </row>
    <row r="5" customFormat="false" ht="15" hidden="false" customHeight="false" outlineLevel="0" collapsed="false">
      <c r="A5" s="5" t="s">
        <v>248</v>
      </c>
      <c r="B5" s="0" t="s">
        <v>249</v>
      </c>
      <c r="C5" s="47" t="n">
        <v>21.31</v>
      </c>
      <c r="D5" s="47" t="n">
        <v>14.81</v>
      </c>
      <c r="E5" s="7" t="s">
        <v>250</v>
      </c>
    </row>
    <row r="6" customFormat="false" ht="15" hidden="false" customHeight="false" outlineLevel="0" collapsed="false">
      <c r="A6" s="21" t="s">
        <v>251</v>
      </c>
      <c r="B6" s="0" t="s">
        <v>252</v>
      </c>
      <c r="C6" s="47" t="n">
        <v>14.39</v>
      </c>
      <c r="D6" s="47" t="n">
        <v>10.14</v>
      </c>
      <c r="E6" s="7" t="s">
        <v>253</v>
      </c>
    </row>
    <row r="7" customFormat="false" ht="15" hidden="false" customHeight="false" outlineLevel="0" collapsed="false">
      <c r="A7" s="21" t="s">
        <v>254</v>
      </c>
      <c r="B7" s="0" t="s">
        <v>255</v>
      </c>
      <c r="C7" s="47" t="n">
        <v>11.97</v>
      </c>
      <c r="D7" s="47" t="n">
        <v>44.76</v>
      </c>
      <c r="E7" s="7" t="s">
        <v>256</v>
      </c>
    </row>
    <row r="8" customFormat="false" ht="15" hidden="false" customHeight="false" outlineLevel="0" collapsed="false">
      <c r="A8" s="21" t="s">
        <v>257</v>
      </c>
      <c r="B8" s="0" t="s">
        <v>258</v>
      </c>
      <c r="C8" s="47" t="n">
        <v>9.57</v>
      </c>
      <c r="D8" s="47" t="n">
        <v>13.47</v>
      </c>
      <c r="E8" s="7" t="s">
        <v>259</v>
      </c>
    </row>
    <row r="10" customFormat="false" ht="15" hidden="false" customHeight="false" outlineLevel="0" collapsed="false">
      <c r="A10" s="5" t="s">
        <v>260</v>
      </c>
      <c r="C10" s="48" t="n">
        <f aca="false">MEDIAN(C6:C8)</f>
        <v>11.97</v>
      </c>
    </row>
    <row r="11" customFormat="false" ht="15" hidden="false" customHeight="false" outlineLevel="0" collapsed="false">
      <c r="A11" s="5" t="s">
        <v>261</v>
      </c>
      <c r="C11" s="48" t="n">
        <f aca="false">C5-C10</f>
        <v>9.34</v>
      </c>
    </row>
    <row r="13" customFormat="false" ht="15" hidden="false" customHeight="false" outlineLevel="0" collapsed="false">
      <c r="A13" s="12" t="s">
        <v>262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50"/>
  </cols>
  <sheetData>
    <row r="1" customFormat="false" ht="15" hidden="false" customHeight="false" outlineLevel="0" collapsed="false">
      <c r="A1" s="1" t="s">
        <v>263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264</v>
      </c>
      <c r="B4" s="4" t="s">
        <v>265</v>
      </c>
    </row>
    <row r="5" customFormat="false" ht="23.85" hidden="false" customHeight="false" outlineLevel="0" collapsed="false">
      <c r="A5" s="0" t="n">
        <v>1</v>
      </c>
      <c r="B5" s="7" t="s">
        <v>266</v>
      </c>
    </row>
    <row r="6" customFormat="false" ht="23.85" hidden="false" customHeight="false" outlineLevel="0" collapsed="false">
      <c r="A6" s="0" t="n">
        <v>2</v>
      </c>
      <c r="B6" s="7" t="s">
        <v>267</v>
      </c>
    </row>
    <row r="7" customFormat="false" ht="15" hidden="false" customHeight="false" outlineLevel="0" collapsed="false">
      <c r="A7" s="0" t="n">
        <v>3</v>
      </c>
      <c r="B7" s="7" t="s">
        <v>268</v>
      </c>
    </row>
    <row r="8" customFormat="false" ht="23.85" hidden="false" customHeight="false" outlineLevel="0" collapsed="false">
      <c r="A8" s="0" t="n">
        <v>4</v>
      </c>
      <c r="B8" s="7" t="s">
        <v>269</v>
      </c>
    </row>
    <row r="9" customFormat="false" ht="23.85" hidden="false" customHeight="false" outlineLevel="0" collapsed="false">
      <c r="A9" s="0" t="n">
        <v>5</v>
      </c>
      <c r="B9" s="7" t="s">
        <v>270</v>
      </c>
    </row>
    <row r="10" customFormat="false" ht="23.85" hidden="false" customHeight="false" outlineLevel="0" collapsed="false">
      <c r="A10" s="0" t="n">
        <v>6</v>
      </c>
      <c r="B10" s="7" t="s">
        <v>271</v>
      </c>
    </row>
    <row r="11" customFormat="false" ht="15" hidden="false" customHeight="false" outlineLevel="0" collapsed="false">
      <c r="A11" s="0" t="n">
        <v>7</v>
      </c>
      <c r="B11" s="7" t="s">
        <v>272</v>
      </c>
    </row>
    <row r="12" customFormat="false" ht="15" hidden="false" customHeight="false" outlineLevel="0" collapsed="false">
      <c r="A12" s="0" t="n">
        <v>8</v>
      </c>
      <c r="B12" s="7" t="s">
        <v>273</v>
      </c>
    </row>
    <row r="13" customFormat="false" ht="15" hidden="false" customHeight="false" outlineLevel="0" collapsed="false">
      <c r="A13" s="0" t="n">
        <v>9</v>
      </c>
      <c r="B13" s="7" t="s">
        <v>274</v>
      </c>
    </row>
    <row r="14" customFormat="false" ht="23.85" hidden="false" customHeight="false" outlineLevel="0" collapsed="false">
      <c r="A14" s="0" t="n">
        <v>10</v>
      </c>
      <c r="B14" s="7" t="s">
        <v>275</v>
      </c>
    </row>
    <row r="15" customFormat="false" ht="23.85" hidden="false" customHeight="false" outlineLevel="0" collapsed="false">
      <c r="A15" s="0" t="n">
        <v>11</v>
      </c>
      <c r="B15" s="7" t="s">
        <v>276</v>
      </c>
    </row>
    <row r="16" customFormat="false" ht="15" hidden="false" customHeight="false" outlineLevel="0" collapsed="false">
      <c r="A16" s="0" t="n">
        <v>12</v>
      </c>
      <c r="B16" s="7" t="s">
        <v>277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2026-10-30T04:23:40Z</dcterms:created>
  <dc:creator>openpyxl</dc:creator>
  <dc:description/>
  <dc:language>en-GB</dc:language>
  <cp:lastModifiedBy/>
  <dcterms:modified xsi:type="dcterms:W3CDTF">2026-10-30T04:23:40Z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