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ver" sheetId="1" state="visible" r:id="rId3"/>
    <sheet name="Assumptions" sheetId="2" state="visible" r:id="rId4"/>
    <sheet name="Segments" sheetId="3" state="visible" r:id="rId5"/>
    <sheet name="Grid" sheetId="4" state="visible" r:id="rId6"/>
    <sheet name="Valuation" sheetId="5" state="visible" r:id="rId7"/>
    <sheet name="Scenarios" sheetId="6" state="visible" r:id="rId8"/>
    <sheet name="Sensitivity" sheetId="7" state="visible" r:id="rId9"/>
    <sheet name="Peers" sheetId="8" state="visible" r:id="rId10"/>
    <sheet name="Source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<sst xmlns="http://schemas.openxmlformats.org/spreadsheetml/2006/main" count="486" uniqueCount="367">
  <si>
    <t xml:space="preserve">SIEMENS ENERGY AG (XETRA: ENR)  INITIATION MODEL</t>
  </si>
  <si>
    <t xml:space="preserve">Tommy Lau | Siemens Energy AG (Xetra: ENR) | 28 October 2026 | Personal research, not investment advice.</t>
  </si>
  <si>
    <t xml:space="preserve">Item</t>
  </si>
  <si>
    <t xml:space="preserve">Value</t>
  </si>
  <si>
    <t xml:space="preserve">Note</t>
  </si>
  <si>
    <t xml:space="preserve">Call (Tommy Lau, 28 October 2026)</t>
  </si>
  <si>
    <t xml:space="preserve">LONG at +15% or more, SHORT at -25% or worse, NO CALL between.</t>
  </si>
  <si>
    <t xml:space="preserve">Base value per share, €</t>
  </si>
  <si>
    <t xml:space="preserve">Sum of the parts on FY2027E profit before SI, plus the bridge, over shares outstanding.</t>
  </si>
  <si>
    <t xml:space="preserve">Reference price, €</t>
  </si>
  <si>
    <t xml:space="preserve">Xetra close, 27 October 2026.</t>
  </si>
  <si>
    <t xml:space="preserve">Base value against price</t>
  </si>
  <si>
    <t xml:space="preserve">Probability-weighted value, €</t>
  </si>
  <si>
    <t xml:space="preserve">25 / 50 / 25 bear / base / bull.</t>
  </si>
  <si>
    <t xml:space="preserve">Grid share of my equity value</t>
  </si>
  <si>
    <t xml:space="preserve">Target, €</t>
  </si>
  <si>
    <t xml:space="preserve">Probability-weighted value, rounded.</t>
  </si>
  <si>
    <t xml:space="preserve">Conviction</t>
  </si>
  <si>
    <t xml:space="preserve">Medium</t>
  </si>
  <si>
    <t xml:space="preserve">Judgement, not formula.</t>
  </si>
  <si>
    <t xml:space="preserve">Horizon</t>
  </si>
  <si>
    <t xml:space="preserve">12 months, to October 2027</t>
  </si>
  <si>
    <t xml:space="preserve">Wrong if</t>
  </si>
  <si>
    <t xml:space="preserve">See note</t>
  </si>
  <si>
    <t xml:space="preserve">Grid Technologies' profit margin before special items for fiscal 2027 lands below 18 per cent, or its orders fall below its revenue in fiscal 2027, or Siemens Gamesa's free cash flow pre tax for fiscal 2027 is worse than minus €2 billion, or the shares close below €105 at any month end before October 2027.</t>
  </si>
  <si>
    <t xml:space="preserve">Tabs</t>
  </si>
  <si>
    <t xml:space="preserve">Assumptions</t>
  </si>
  <si>
    <t xml:space="preserve">Every input, with its source. Change the yellow cells to move the value.</t>
  </si>
  <si>
    <t xml:space="preserve">Segments</t>
  </si>
  <si>
    <t xml:space="preserve">Revenue and profit before SI by segment: FY2025A, 9M FY2026A, Q4 FY2026E, FY2026E, FY2027E; EPS cross-check.</t>
  </si>
  <si>
    <t xml:space="preserve">Grid</t>
  </si>
  <si>
    <t xml:space="preserve">Grid orders, revenue and backlog by quarter: the claim's tests.</t>
  </si>
  <si>
    <t xml:space="preserve">Valuation</t>
  </si>
  <si>
    <t xml:space="preserve">Sum of the parts, the bridge, base value, the band, what the price implies for Grid.</t>
  </si>
  <si>
    <t xml:space="preserve">Scenarios</t>
  </si>
  <si>
    <t xml:space="preserve">Bear / base / bull and the probability-weighted value.</t>
  </si>
  <si>
    <t xml:space="preserve">Sensitivity</t>
  </si>
  <si>
    <t xml:space="preserve">Gas Services multiple against the Grid multiple.</t>
  </si>
  <si>
    <t xml:space="preserve">Peers</t>
  </si>
  <si>
    <t xml:space="preserve">Forward P/E and trailing EV/EBIT used to set the multiples.</t>
  </si>
  <si>
    <t xml:space="preserve">Sources</t>
  </si>
  <si>
    <t xml:space="preserve">Every source used.</t>
  </si>
  <si>
    <t xml:space="preserve">Colour key: blue = hardcoded input; yellow fill = my own assumption; green = link to another tab; black = formula.</t>
  </si>
  <si>
    <t xml:space="preserve">Companion note: 2026-10-28_SiemensEnergy_Initiation.pdf. Personal research, not investment advice.</t>
  </si>
  <si>
    <t xml:space="preserve">ASSUMPTIONS AND INPUTS</t>
  </si>
  <si>
    <t xml:space="preserve">Blue = hardcoded input. Yellow fill = my own assumption (change these to move the value). Green = link to another tab. Black = formula. Euro million unless stated. Fiscal year ends 30 September.</t>
  </si>
  <si>
    <t xml:space="preserve">Input</t>
  </si>
  <si>
    <t xml:space="preserve">Unit</t>
  </si>
  <si>
    <t xml:space="preserve">Source / note</t>
  </si>
  <si>
    <t xml:space="preserve">MARKET</t>
  </si>
  <si>
    <t xml:space="preserve">Reference share price</t>
  </si>
  <si>
    <t xml:space="preserve">€</t>
  </si>
  <si>
    <t xml:space="preserve">Xetra close, 27 October 2026. Yahoo Finance ENR.DE, retrieved 28 October 2026.</t>
  </si>
  <si>
    <t xml:space="preserve">Record close, 24 April 2026</t>
  </si>
  <si>
    <t xml:space="preserve">Yahoo Finance ENR.DE; intraday high €191.66 the same day.</t>
  </si>
  <si>
    <t xml:space="preserve">FY2027 consensus EPS (year to September 2027)</t>
  </si>
  <si>
    <t xml:space="preserve">stockanalysis.com (S&amp;P Global data), retrieved 28 October 2026. Cross-check only.</t>
  </si>
  <si>
    <t xml:space="preserve">Average analyst target</t>
  </si>
  <si>
    <t xml:space="preserve">stockanalysis.com, 28 analysts; range €100 to €260. Cross-check only.</t>
  </si>
  <si>
    <t xml:space="preserve">SHARES (MILLIONS)</t>
  </si>
  <si>
    <t xml:space="preserve">Issued shares</t>
  </si>
  <si>
    <t xml:space="preserve">m</t>
  </si>
  <si>
    <t xml:space="preserve">861,104,914 (voting rights notices, April to September 2026).</t>
  </si>
  <si>
    <t xml:space="preserve">Treasury shares, 30 September 2025</t>
  </si>
  <si>
    <t xml:space="preserve">Half-year Financial Report 2026, Note 4.</t>
  </si>
  <si>
    <t xml:space="preserve">Bought, first tranche (March to May 2026)</t>
  </si>
  <si>
    <t xml:space="preserve">Share buyback page: 12,618,469 shares for €2.0bn.</t>
  </si>
  <si>
    <t xml:space="preserve">Bought, second tranche (June to August 2026)</t>
  </si>
  <si>
    <t xml:space="preserve">Share buyback page: 6,467,098 shares for €1.0bn.</t>
  </si>
  <si>
    <t xml:space="preserve">Bought, third tranche (from 24 September 2026, to date)</t>
  </si>
  <si>
    <t xml:space="preserve">Share buyback page, read 28 October 2026: 4,513,232 shares for €623m.</t>
  </si>
  <si>
    <t xml:space="preserve">Treasury shares issued to employee plans, H1 FY2026</t>
  </si>
  <si>
    <t xml:space="preserve">Half-year Financial Report 2026, Note 4. H2 issuance not yet disclosed, so not deducted.</t>
  </si>
  <si>
    <t xml:space="preserve">BALANCE SHEET, 30 JUNE 2026 (€ BILLION)</t>
  </si>
  <si>
    <t xml:space="preserve">Adjusted net cash (cash less debt less pensions)</t>
  </si>
  <si>
    <t xml:space="preserve">€bn</t>
  </si>
  <si>
    <t xml:space="preserve">Earnings Release Q3 FY2026, 5 August 2026: cash 11.088, debt 2.959, pensions 0.410.</t>
  </si>
  <si>
    <t xml:space="preserve">Buybacks paid after 30 June 2026</t>
  </si>
  <si>
    <t xml:space="preserve">Buyback page: July 0.460, August 0.181, September 0.117, October 0.506.</t>
  </si>
  <si>
    <t xml:space="preserve">Investments accounted for using the equity method</t>
  </si>
  <si>
    <t xml:space="preserve">Earnings Release Q3 FY2026, 5 August 2026. Taken at book; includes the Siemens Energy India stake.</t>
  </si>
  <si>
    <t xml:space="preserve">Non-controlling interests' share of net income, FY2026</t>
  </si>
  <si>
    <t xml:space="preserve">Q3 FY2026 analyst presentation: about €0.3bn.</t>
  </si>
  <si>
    <t xml:space="preserve">Multiple on minorities' earnings</t>
  </si>
  <si>
    <t xml:space="preserve">x</t>
  </si>
  <si>
    <t xml:space="preserve">MY ASSUMPTION. Minorities valued on earnings, not the €0.473bn book value.</t>
  </si>
  <si>
    <t xml:space="preserve">Contract liabilities (mostly customer advances)</t>
  </si>
  <si>
    <t xml:space="preserve">Earnings Release Q3 FY2026, 5 August 2026. Shown for the risk, not used in the value.</t>
  </si>
  <si>
    <t xml:space="preserve">GAS SERVICES</t>
  </si>
  <si>
    <t xml:space="preserve">Gas Services revenue, FY2025</t>
  </si>
  <si>
    <t xml:space="preserve">€m</t>
  </si>
  <si>
    <t xml:space="preserve">Shareholder Letter Q4 FY2025, 14 November 2025.</t>
  </si>
  <si>
    <t xml:space="preserve">Gas Services margin before SI, FY2025</t>
  </si>
  <si>
    <t xml:space="preserve">%</t>
  </si>
  <si>
    <t xml:space="preserve">Shareholder Letter Q4 FY2025.</t>
  </si>
  <si>
    <t xml:space="preserve">Gas Services revenue, 9M FY2026</t>
  </si>
  <si>
    <t xml:space="preserve">Earnings Release Q3 FY2026, 5 August 2026.</t>
  </si>
  <si>
    <t xml:space="preserve">Gas Services profit before SI, 9M FY2026</t>
  </si>
  <si>
    <t xml:space="preserve">Gas Services revenue, Q4 FY2026</t>
  </si>
  <si>
    <t xml:space="preserve">MY ASSUMPTION, inside the FY2026 outlook; results due 11 November 2026.</t>
  </si>
  <si>
    <t xml:space="preserve">Gas Services margin before SI, Q4 FY2026</t>
  </si>
  <si>
    <t xml:space="preserve">MY ASSUMPTION.</t>
  </si>
  <si>
    <t xml:space="preserve">Gas Services revenue growth, FY2027</t>
  </si>
  <si>
    <t xml:space="preserve">MY ASSUMPTION. FY2028 target: mid-teens revenue CAGR.</t>
  </si>
  <si>
    <t xml:space="preserve">Gas Services margin before SI, FY2027</t>
  </si>
  <si>
    <t xml:space="preserve">MY ASSUMPTION. FY2028 target margin: 18 to 20%.</t>
  </si>
  <si>
    <t xml:space="preserve">GRID TECHNOLOGIES</t>
  </si>
  <si>
    <t xml:space="preserve">Grid Technologies revenue, FY2025</t>
  </si>
  <si>
    <t xml:space="preserve">Grid Technologies margin before SI, FY2025</t>
  </si>
  <si>
    <t xml:space="preserve">Grid Technologies revenue, 9M FY2026</t>
  </si>
  <si>
    <t xml:space="preserve">Grid Technologies profit before SI, 9M FY2026</t>
  </si>
  <si>
    <t xml:space="preserve">Grid Technologies revenue, Q4 FY2026</t>
  </si>
  <si>
    <t xml:space="preserve">Grid Technologies margin before SI, Q4 FY2026</t>
  </si>
  <si>
    <t xml:space="preserve">Grid Technologies revenue growth, FY2027</t>
  </si>
  <si>
    <t xml:space="preserve">MY ASSUMPTION. FY2028 target: high teens revenue CAGR.</t>
  </si>
  <si>
    <t xml:space="preserve">Grid Technologies margin before SI, FY2027</t>
  </si>
  <si>
    <t xml:space="preserve">TRANSFORMATION OF INDUSTRY</t>
  </si>
  <si>
    <t xml:space="preserve">Transformation of Industry revenue, FY2025</t>
  </si>
  <si>
    <t xml:space="preserve">Transformation of Industry margin before SI, FY2025</t>
  </si>
  <si>
    <t xml:space="preserve">Transformation of Industry revenue, 9M FY2026</t>
  </si>
  <si>
    <t xml:space="preserve">Transformation of Industry profit before SI, 9M FY2026</t>
  </si>
  <si>
    <t xml:space="preserve">Transformation of Industry revenue, Q4 FY2026</t>
  </si>
  <si>
    <t xml:space="preserve">Transformation of Industry margin before SI, Q4 FY2026</t>
  </si>
  <si>
    <t xml:space="preserve">Transformation of Industry revenue growth, FY2027</t>
  </si>
  <si>
    <t xml:space="preserve">MY ASSUMPTION. FY2028 target: mid to high single digit revenue CAGR.</t>
  </si>
  <si>
    <t xml:space="preserve">Transformation of Industry margin before SI, FY2027</t>
  </si>
  <si>
    <t xml:space="preserve">MY ASSUMPTION. FY2028 target margin: 12 to 14%.</t>
  </si>
  <si>
    <t xml:space="preserve">SIEMENS GAMESA</t>
  </si>
  <si>
    <t xml:space="preserve">Siemens Gamesa revenue, FY2025</t>
  </si>
  <si>
    <t xml:space="preserve">Siemens Gamesa margin before SI, FY2025</t>
  </si>
  <si>
    <t xml:space="preserve">Siemens Gamesa revenue, 9M FY2026</t>
  </si>
  <si>
    <t xml:space="preserve">Siemens Gamesa profit before SI, 9M FY2026</t>
  </si>
  <si>
    <t xml:space="preserve">Siemens Gamesa revenue, Q4 FY2026</t>
  </si>
  <si>
    <t xml:space="preserve">Siemens Gamesa margin before SI, Q4 FY2026</t>
  </si>
  <si>
    <t xml:space="preserve">Siemens Gamesa revenue growth, FY2027</t>
  </si>
  <si>
    <t xml:space="preserve">MY ASSUMPTION. FY2028 target: mid single digit revenue CAGR.</t>
  </si>
  <si>
    <t xml:space="preserve">Siemens Gamesa margin before SI, FY2027</t>
  </si>
  <si>
    <t xml:space="preserve">MY ASSUMPTION. FY2028 target margin: 3 to 5%.</t>
  </si>
  <si>
    <t xml:space="preserve">GROUP</t>
  </si>
  <si>
    <t xml:space="preserve">Group revenue, FY2025</t>
  </si>
  <si>
    <t xml:space="preserve">Shareholder Letter Q4 FY2025: €39.1bn.</t>
  </si>
  <si>
    <t xml:space="preserve">Group profit before SI, FY2025</t>
  </si>
  <si>
    <t xml:space="preserve">Reconciliation line, 9M FY2026</t>
  </si>
  <si>
    <t xml:space="preserve">Reconciliation line, FY2026</t>
  </si>
  <si>
    <t xml:space="preserve">MY ASSUMPTION, Q3 analyst presentation: about minus €0.3bn.</t>
  </si>
  <si>
    <t xml:space="preserve">Revenue eliminations, FY2026</t>
  </si>
  <si>
    <t xml:space="preserve">MY ASSUMPTION, about the 9M pace.</t>
  </si>
  <si>
    <t xml:space="preserve">Reconciliation line (corporate costs), FY2027</t>
  </si>
  <si>
    <t xml:space="preserve">Revenue eliminations, FY2027</t>
  </si>
  <si>
    <t xml:space="preserve">Special items, FY2027</t>
  </si>
  <si>
    <t xml:space="preserve">MY ASSUMPTION, for the EPS cross-check only.</t>
  </si>
  <si>
    <t xml:space="preserve">Amortisation of acquired intangibles, FY2027</t>
  </si>
  <si>
    <t xml:space="preserve">MY ASSUMPTION, about the 9M FY2026 pace.</t>
  </si>
  <si>
    <t xml:space="preserve">Financial result, FY2027</t>
  </si>
  <si>
    <t xml:space="preserve">Tax rate, FY2027</t>
  </si>
  <si>
    <t xml:space="preserve">MY ASSUMPTION. Siemens Energy guides below 20% for FY2026.</t>
  </si>
  <si>
    <t xml:space="preserve">Non-controlling interests, FY2027</t>
  </si>
  <si>
    <t xml:space="preserve">MULTIPLES (EV / FY2027E PROFIT BEFORE SI)</t>
  </si>
  <si>
    <t xml:space="preserve">Grid Technologies</t>
  </si>
  <si>
    <t xml:space="preserve">MY ASSUMPTION. Grid equipment peers' median trailing EV/EBIT 20.8x (Peers tab); 22.4x without Hitachi.</t>
  </si>
  <si>
    <t xml:space="preserve">Gas Services</t>
  </si>
  <si>
    <t xml:space="preserve">MY ASSUMPTION. Mitsubishi Heavy 21.5x, Baker Hughes 20.9x; lower for cycle-high new-unit pricing.</t>
  </si>
  <si>
    <t xml:space="preserve">Transformation of Industry</t>
  </si>
  <si>
    <t xml:space="preserve">Siemens Gamesa</t>
  </si>
  <si>
    <t xml:space="preserve">MY ASSUMPTION. Vestas 15.5x.</t>
  </si>
  <si>
    <t xml:space="preserve">Siemens Gamesa cash still to burn, FY2027 to FY2028</t>
  </si>
  <si>
    <t xml:space="preserve">MY ASSUMPTION. 9M FY2026 free cash flow pre tax minus €1.7bn.</t>
  </si>
  <si>
    <t xml:space="preserve">Corporate costs (capitalised)</t>
  </si>
  <si>
    <t xml:space="preserve">SEGMENTS: REVENUE AND PROFIT BEFORE SPECIAL ITEMS, FY2025A TO FY2027E (€ MILLION)</t>
  </si>
  <si>
    <t xml:space="preserve">Segment</t>
  </si>
  <si>
    <t xml:space="preserve">FY25 revenue</t>
  </si>
  <si>
    <t xml:space="preserve">FY25 margin</t>
  </si>
  <si>
    <t xml:space="preserve">9M revenue</t>
  </si>
  <si>
    <t xml:space="preserve">9M profit</t>
  </si>
  <si>
    <t xml:space="preserve">Q4E revenue*</t>
  </si>
  <si>
    <t xml:space="preserve">Q4E profit*</t>
  </si>
  <si>
    <t xml:space="preserve">FY26E revenue*</t>
  </si>
  <si>
    <t xml:space="preserve">FY26E profit*</t>
  </si>
  <si>
    <t xml:space="preserve">FY26E margin*</t>
  </si>
  <si>
    <t xml:space="preserve">FY27E revenue*</t>
  </si>
  <si>
    <t xml:space="preserve">FY27E profit*</t>
  </si>
  <si>
    <t xml:space="preserve">Reconciliation and eliminations</t>
  </si>
  <si>
    <t xml:space="preserve">Siemens Energy</t>
  </si>
  <si>
    <t xml:space="preserve">Group margin before SI, FY2027E</t>
  </si>
  <si>
    <t xml:space="preserve">EPS cross-check, FY2027E (€m)</t>
  </si>
  <si>
    <t xml:space="preserve">Profit before SI</t>
  </si>
  <si>
    <t xml:space="preserve">Special items</t>
  </si>
  <si>
    <t xml:space="preserve">Amortisation of acquired intangibles</t>
  </si>
  <si>
    <t xml:space="preserve">Financial result</t>
  </si>
  <si>
    <t xml:space="preserve">Income before tax</t>
  </si>
  <si>
    <t xml:space="preserve">Tax</t>
  </si>
  <si>
    <t xml:space="preserve">Non-controlling interests</t>
  </si>
  <si>
    <t xml:space="preserve">Net income to shareholders</t>
  </si>
  <si>
    <t xml:space="preserve">Shares outstanding, m</t>
  </si>
  <si>
    <t xml:space="preserve">EPS FY2027E, €</t>
  </si>
  <si>
    <t xml:space="preserve">FY2027 consensus EPS, €</t>
  </si>
  <si>
    <t xml:space="preserve">Mine against consensus</t>
  </si>
  <si>
    <t xml:space="preserve">*Q4 FY2026, FY2026E and FY2027E are my own estimates, not Siemens Energy's. FY2026 results are due on 11 November 2026.</t>
  </si>
  <si>
    <t xml:space="preserve">FY2026 outlook (comparable revenue growth, margin before SI): Gas Services 16 to 18%, 14 to 16%; Grid 25 to 27%, 18 to 20%; TI 5 to 7%, 11 to 13%;</t>
  </si>
  <si>
    <t xml:space="preserve">Siemens Gamesa 3 to 5%, break-even; group 14 to 16%, 10 to 12% (raised 12 May 2026, confirmed 5 August and 30 September 2026).</t>
  </si>
  <si>
    <t xml:space="preserve">GRID TECHNOLOGIES: ORDERS, REVENUE, BACKLOG AND THE CLAIM'S TESTS</t>
  </si>
  <si>
    <t xml:space="preserve">€ million</t>
  </si>
  <si>
    <t xml:space="preserve">Q1 FY25</t>
  </si>
  <si>
    <t xml:space="preserve">Q2 FY25</t>
  </si>
  <si>
    <t xml:space="preserve">Q3 FY25</t>
  </si>
  <si>
    <t xml:space="preserve">Q4 FY25</t>
  </si>
  <si>
    <t xml:space="preserve">Q1 FY26</t>
  </si>
  <si>
    <t xml:space="preserve">Q2 FY26</t>
  </si>
  <si>
    <t xml:space="preserve">Q3 FY26</t>
  </si>
  <si>
    <t xml:space="preserve">Orders</t>
  </si>
  <si>
    <t xml:space="preserve">Revenue</t>
  </si>
  <si>
    <t xml:space="preserve">Orders / revenue</t>
  </si>
  <si>
    <t xml:space="preserve">Orders, 9M FY2026</t>
  </si>
  <si>
    <t xml:space="preserve">Revenue, 9M FY2026</t>
  </si>
  <si>
    <t xml:space="preserve">Orders / revenue, 9M FY2026</t>
  </si>
  <si>
    <t xml:space="preserve">Revenue, four quarters to June 2026</t>
  </si>
  <si>
    <t xml:space="preserve">My FY2026E revenue</t>
  </si>
  <si>
    <t xml:space="preserve">9M orders less my full-year revenue (positive = test passed already)</t>
  </si>
  <si>
    <t xml:space="preserve">Full years</t>
  </si>
  <si>
    <t xml:space="preserve">FY2024</t>
  </si>
  <si>
    <t xml:space="preserve">FY2025</t>
  </si>
  <si>
    <t xml:space="preserve">Backlog, € billion (rounded as reported)</t>
  </si>
  <si>
    <t xml:space="preserve">Sep 24</t>
  </si>
  <si>
    <t xml:space="preserve">Sep 25</t>
  </si>
  <si>
    <t xml:space="preserve">Dec 25</t>
  </si>
  <si>
    <t xml:space="preserve">Mar 26</t>
  </si>
  <si>
    <t xml:space="preserve">Jun 26</t>
  </si>
  <si>
    <t xml:space="preserve">Grid order backlog</t>
  </si>
  <si>
    <t xml:space="preserve">Change on previous reading</t>
  </si>
  <si>
    <t xml:space="preserve">Growth, September 2024 to June 2026</t>
  </si>
  <si>
    <t xml:space="preserve">Backlog / revenue over four quarters to June 2026</t>
  </si>
  <si>
    <t xml:space="preserve">Grid history</t>
  </si>
  <si>
    <t xml:space="preserve">FY22</t>
  </si>
  <si>
    <t xml:space="preserve">FY23</t>
  </si>
  <si>
    <t xml:space="preserve">FY24</t>
  </si>
  <si>
    <t xml:space="preserve">FY25</t>
  </si>
  <si>
    <t xml:space="preserve">Revenue, €bn</t>
  </si>
  <si>
    <t xml:space="preserve">Margin before SI</t>
  </si>
  <si>
    <t xml:space="preserve">Sources: Earnings Releases Q1 to Q3 FY2026 (11 February, 12 May, 5 August 2026), with prior-year quarters; Shareholder Letters Q4 FY2025 and Q4 FY2024;</t>
  </si>
  <si>
    <t xml:space="preserve">Capital Market Day Grid Technologies presentation, 20 November 2025 (FY22 and FY23 revenue and margins). Backlog is rounded to €1bn as reported.</t>
  </si>
  <si>
    <t xml:space="preserve">The claim breaks if Grid's orders fall below revenue in a full fiscal year, or its backlog in euros falls for two quarters in a row, before 30 September 2030.</t>
  </si>
  <si>
    <t xml:space="preserve">VALUATION: SUM OF THE PARTS ON FY2027E PROFIT BEFORE SPECIAL ITEMS</t>
  </si>
  <si>
    <t xml:space="preserve">Part</t>
  </si>
  <si>
    <t xml:space="preserve">FY2027E profit, €bn</t>
  </si>
  <si>
    <t xml:space="preserve">Multiple</t>
  </si>
  <si>
    <t xml:space="preserve">Value, €bn</t>
  </si>
  <si>
    <t xml:space="preserve">Share</t>
  </si>
  <si>
    <t xml:space="preserve">Working / note</t>
  </si>
  <si>
    <t xml:space="preserve">Profit at the multiple, less the cash still to burn.</t>
  </si>
  <si>
    <t xml:space="preserve">Corporate costs</t>
  </si>
  <si>
    <t xml:space="preserve">Enterprise value of the parts</t>
  </si>
  <si>
    <t xml:space="preserve">Adjusted net cash, 30 June 2026</t>
  </si>
  <si>
    <t xml:space="preserve">Cash less debt less pensions, as Siemens Energy reports it.</t>
  </si>
  <si>
    <t xml:space="preserve">Less buybacks paid since 30 June</t>
  </si>
  <si>
    <t xml:space="preserve">The share count below is after these buybacks.</t>
  </si>
  <si>
    <t xml:space="preserve">Add equity-method investments at book</t>
  </si>
  <si>
    <t xml:space="preserve">Less non-controlling interests at a multiple of their earnings</t>
  </si>
  <si>
    <t xml:space="preserve">Bridge from enterprise value to equity value</t>
  </si>
  <si>
    <t xml:space="preserve">Equity value, €bn</t>
  </si>
  <si>
    <t xml:space="preserve">Issued less treasury shares, derived from the buyback reports. Cancelling treasury shares does not change this.</t>
  </si>
  <si>
    <t xml:space="preserve">BASE VALUE PER SHARE, €</t>
  </si>
  <si>
    <t xml:space="preserve">Band: LONG at +15% or more, SHORT at -25% or worse, NO CALL between.</t>
  </si>
  <si>
    <t xml:space="preserve">VIEW ON THE BAND</t>
  </si>
  <si>
    <t xml:space="preserve">Tommy Lau's call, 28 October 2026: LONG, target €160, Medium conviction.</t>
  </si>
  <si>
    <t xml:space="preserve">Market value, €bn</t>
  </si>
  <si>
    <t xml:space="preserve">Adjusted enterprise value at the price, €bn</t>
  </si>
  <si>
    <t xml:space="preserve">Market value less the bridge items.</t>
  </si>
  <si>
    <t xml:space="preserve">EV / FY2026E group profit before SI</t>
  </si>
  <si>
    <t xml:space="preserve">EV / FY2027E group profit before SI</t>
  </si>
  <si>
    <t xml:space="preserve">P/E on FY2027 consensus EPS</t>
  </si>
  <si>
    <t xml:space="preserve">Cross-check only.</t>
  </si>
  <si>
    <t xml:space="preserve">P/E on my FY2027E EPS</t>
  </si>
  <si>
    <t xml:space="preserve">Value the price leaves for Grid, €bn</t>
  </si>
  <si>
    <t xml:space="preserve">Rest of the group at my base multiples.</t>
  </si>
  <si>
    <t xml:space="preserve">That value / Grid FY2027E profit before SI</t>
  </si>
  <si>
    <t xml:space="preserve">Gas Services multiple the price implies, with Grid at base</t>
  </si>
  <si>
    <t xml:space="preserve">Price at which the base value is 15% above it, €</t>
  </si>
  <si>
    <t xml:space="preserve">Above this, the band gives NO CALL.</t>
  </si>
  <si>
    <t xml:space="preserve">Price at which the base value is 25% below it, €</t>
  </si>
  <si>
    <t xml:space="preserve">Above this, the band gives SHORT.</t>
  </si>
  <si>
    <t xml:space="preserve">Gas Services share of my equity value</t>
  </si>
  <si>
    <t xml:space="preserve">Price against the record close</t>
  </si>
  <si>
    <t xml:space="preserve">€187.62 on 24 April 2026.</t>
  </si>
  <si>
    <t xml:space="preserve">THREE CASES, TWELVE MONTHS OUT</t>
  </si>
  <si>
    <t xml:space="preserve">Case</t>
  </si>
  <si>
    <t xml:space="preserve">Grid growth</t>
  </si>
  <si>
    <t xml:space="preserve">Grid margin</t>
  </si>
  <si>
    <t xml:space="preserve">Grid x</t>
  </si>
  <si>
    <t xml:space="preserve">Gas growth</t>
  </si>
  <si>
    <t xml:space="preserve">Gas margin</t>
  </si>
  <si>
    <t xml:space="preserve">Gas x</t>
  </si>
  <si>
    <t xml:space="preserve">TI x</t>
  </si>
  <si>
    <t xml:space="preserve">Gamesa margin</t>
  </si>
  <si>
    <t xml:space="preserve">Gamesa x</t>
  </si>
  <si>
    <t xml:space="preserve">Gamesa burn €bn</t>
  </si>
  <si>
    <t xml:space="preserve">Grid profit €bn</t>
  </si>
  <si>
    <t xml:space="preserve">Value, €</t>
  </si>
  <si>
    <t xml:space="preserve">vs price</t>
  </si>
  <si>
    <t xml:space="preserve">Bear</t>
  </si>
  <si>
    <t xml:space="preserve">Base</t>
  </si>
  <si>
    <t xml:space="preserve">Bull</t>
  </si>
  <si>
    <t xml:space="preserve">Probability</t>
  </si>
  <si>
    <t xml:space="preserve">must be 100%</t>
  </si>
  <si>
    <t xml:space="preserve">Grid and Gas Services grow from my FY2026 estimates. Transformation of Industry keeps my FY2027E profit; only its multiple moves.</t>
  </si>
  <si>
    <t xml:space="preserve">Siemens Gamesa: FY2027E revenue at the case margin and multiple, less the cash still to burn. Corporate costs, the bridge and shares are the same in every case.</t>
  </si>
  <si>
    <t xml:space="preserve">VALUE PER SHARE: GAS SERVICES MULTIPLE AGAINST THE GRID MULTIPLE (€)</t>
  </si>
  <si>
    <t xml:space="preserve">Gas x (rows) \ Grid x (columns)</t>
  </si>
  <si>
    <t xml:space="preserve">Cells above the reference price</t>
  </si>
  <si>
    <t xml:space="preserve">of 9</t>
  </si>
  <si>
    <t xml:space="preserve">Cells 15% or more above the price</t>
  </si>
  <si>
    <t xml:space="preserve">My FY2027E profits throughout; everything else at base. The middle row and column link to the base multiples.</t>
  </si>
  <si>
    <t xml:space="preserve">PEER MULTIPLES (stockanalysis.com, RETRIEVED 28 OCTOBER 2026)</t>
  </si>
  <si>
    <t xml:space="preserve">Company</t>
  </si>
  <si>
    <t xml:space="preserve">Ticker</t>
  </si>
  <si>
    <t xml:space="preserve">Forward P/E</t>
  </si>
  <si>
    <t xml:space="preserve">EV/EBIT (trailing)</t>
  </si>
  <si>
    <t xml:space="preserve">What they make</t>
  </si>
  <si>
    <t xml:space="preserve">Xetra: ENR</t>
  </si>
  <si>
    <t xml:space="preserve">Gas turbines and service, grid equipment, wind turbines, industrial compressors</t>
  </si>
  <si>
    <t xml:space="preserve">ABB</t>
  </si>
  <si>
    <t xml:space="preserve">SWX: ABBN</t>
  </si>
  <si>
    <t xml:space="preserve">Electrification and automation equipment</t>
  </si>
  <si>
    <t xml:space="preserve">Schneider Electric</t>
  </si>
  <si>
    <t xml:space="preserve">EPA: SU</t>
  </si>
  <si>
    <t xml:space="preserve">Electrical distribution, automation, data centre power</t>
  </si>
  <si>
    <t xml:space="preserve">Eaton</t>
  </si>
  <si>
    <t xml:space="preserve">NYSE: ETN</t>
  </si>
  <si>
    <t xml:space="preserve">Switchgear and power distribution, data centre electrical</t>
  </si>
  <si>
    <t xml:space="preserve">Prysmian</t>
  </si>
  <si>
    <t xml:space="preserve">BIT: PRY</t>
  </si>
  <si>
    <t xml:space="preserve">High voltage and power cable</t>
  </si>
  <si>
    <t xml:space="preserve">Hitachi</t>
  </si>
  <si>
    <t xml:space="preserve">TSE: 6501</t>
  </si>
  <si>
    <t xml:space="preserve">Grid equipment (Hitachi Energy), IT services, rail, industrial products</t>
  </si>
  <si>
    <t xml:space="preserve">GE Vernova</t>
  </si>
  <si>
    <t xml:space="preserve">NYSE: GEV</t>
  </si>
  <si>
    <t xml:space="preserve">Gas turbines, grid equipment, wind turbines</t>
  </si>
  <si>
    <t xml:space="preserve">Mitsubishi Heavy</t>
  </si>
  <si>
    <t xml:space="preserve">TSE: 7011</t>
  </si>
  <si>
    <t xml:space="preserve">Gas turbines, defence, aerospace, industrial machinery</t>
  </si>
  <si>
    <t xml:space="preserve">Baker Hughes</t>
  </si>
  <si>
    <t xml:space="preserve">NASDAQ: BKR</t>
  </si>
  <si>
    <t xml:space="preserve">Compressors, turbomachinery, oilfield services</t>
  </si>
  <si>
    <t xml:space="preserve">Vestas</t>
  </si>
  <si>
    <t xml:space="preserve">CPH: VWS</t>
  </si>
  <si>
    <t xml:space="preserve">Wind turbines and service</t>
  </si>
  <si>
    <t xml:space="preserve">Grid equipment median (rows 6 to 10)</t>
  </si>
  <si>
    <t xml:space="preserve">Grid equipment median without Hitachi (rows 6 to 9)</t>
  </si>
  <si>
    <t xml:space="preserve">Multiples only, to set the range of segment multiples. No view on the peers' shares is expressed. GE Vernova's trailing</t>
  </si>
  <si>
    <t xml:space="preserve">EV/EBIT of 84x reflects earnings still recovering and is not used for any multiple.</t>
  </si>
  <si>
    <t xml:space="preserve">SOURCES</t>
  </si>
  <si>
    <t xml:space="preserve">No.</t>
  </si>
  <si>
    <t xml:space="preserve">Source and what it supports</t>
  </si>
  <si>
    <t xml:space="preserve">Siemens Energy, Earnings Release Q3 FY2026, 5 August 2026: segment orders, revenue and profit before SI (Q3 and 9M), balance sheet, adjusted net cash, FY2026 outlook, external revenue split.</t>
  </si>
  <si>
    <t xml:space="preserve">Siemens Energy, Earnings Releases Q1 FY2026 (11 February 2026) and Q2 FY2026 (12 May 2026): quarterly Grid figures with prior-year quarters; the raised FY2026 outlook.</t>
  </si>
  <si>
    <t xml:space="preserve">Siemens Energy, Shareholder Letter Q4 FY2025, 14 November 2025: FY2025 segment results, FY2028 group targets, the up to €6bn buyback and up to €10bn shareholder returns to FY2028.</t>
  </si>
  <si>
    <t xml:space="preserve">Siemens Energy, Shareholder Letter Q4 FY2024, 13 November 2024: FY2024 Grid orders €20,901m, revenue €9,280m, backlog €33bn.</t>
  </si>
  <si>
    <t xml:space="preserve">Siemens Energy, Capital Market Day, 20 November 2025: CEO, CFO, Grid Technologies, Gas Services, Siemens Gamesa and Transformation of Industry presentations (FY2028 targets; Grid FY22 to FY25; the transformer market chart).</t>
  </si>
  <si>
    <t xml:space="preserve">Siemens Energy, Half-year Financial Report 2026, 12 May 2026, Note 4: treasury shares.</t>
  </si>
  <si>
    <t xml:space="preserve">Siemens Energy, Q3 FY2026 analyst presentation, 5 August 2026: FY2026 financial considerations (reconciliation line, minorities, tax rate).</t>
  </si>
  <si>
    <t xml:space="preserve">Siemens Energy, Q4 FY2026 Pre-Close Call transcript, 30 September 2026; investor relations financial calendar: Q4 FY2026 results on 11 November 2026.</t>
  </si>
  <si>
    <t xml:space="preserve">Siemens Energy share buyback page (siemens-energy.com/sharebuyback), read 28 October 2026: shares and amounts by tranche and month.</t>
  </si>
  <si>
    <t xml:space="preserve">Siemens AG voting rights notice, 2 April 2026 (via Deutsche Boerse): 861,104,914 voting rights; Siemens AG at 5.54%.</t>
  </si>
  <si>
    <t xml:space="preserve">Yahoo Finance, ENR.DE, retrieved 28 October 2026: daily and month-end closes, highs and lows.</t>
  </si>
  <si>
    <t xml:space="preserve">stockanalysis.com (S&amp;P Global data), retrieved 28 October 2026: consensus EPS and average target; peer forward P/E and trailing EV/EBIT.</t>
  </si>
  <si>
    <t xml:space="preserve">The Physical Layer, 'Siemens Energy has measured the transformer shortage, and its own chart runs to 2030', 28 October 2026: https://thephysicallayer.fyi/journal/siemens-energy-measures-the-shortage/</t>
  </si>
  <si>
    <t xml:space="preserve">Estimates for FY2026 and FY2027 are the author's own. Personal research, not investment advice.</t>
  </si>
</sst>
</file>

<file path=xl/styles.xml><?xml version="1.0" encoding="utf-8"?>
<styleSheet xmlns="http://schemas.openxmlformats.org/spreadsheetml/2006/main">
  <numFmts count="14">
    <numFmt numFmtId="164" formatCode="General"/>
    <numFmt numFmtId="165" formatCode="\€#,##0.00"/>
    <numFmt numFmtId="166" formatCode="0.0%"/>
    <numFmt numFmtId="167" formatCode="\€#,##0"/>
    <numFmt numFmtId="168" formatCode="#,##0.000"/>
    <numFmt numFmtId="169" formatCode="#,##0.00"/>
    <numFmt numFmtId="170" formatCode="0\x"/>
    <numFmt numFmtId="171" formatCode="#,##0"/>
    <numFmt numFmtId="172" formatCode="#,##0.0"/>
    <numFmt numFmtId="173" formatCode="0.00\x"/>
    <numFmt numFmtId="174" formatCode="0"/>
    <numFmt numFmtId="175" formatCode="\+0;\-0;0"/>
    <numFmt numFmtId="176" formatCode="0%"/>
    <numFmt numFmtId="177" formatCode="0.0\x"/>
  </numFmts>
  <fonts count="15">
    <font>
      <sz val="11"/>
      <color theme="1"/>
      <name val="Calibri"/>
      <family val="2"/>
      <charset val="1"/>
    </font>
    <font>
      <sz val="10"/>
      <name val="Arial"/>
      <family val="0"/>
    </font>
    <font>
      <sz val="10"/>
      <name val="Arial"/>
      <family val="0"/>
    </font>
    <font>
      <sz val="10"/>
      <name val="Arial"/>
      <family val="0"/>
    </font>
    <font>
      <b val="true"/>
      <sz val="12"/>
      <color rgb="FF1F3864"/>
      <name val="Cambria"/>
      <family val="0"/>
      <charset val="1"/>
    </font>
    <font>
      <sz val="9"/>
      <color rgb="FF595959"/>
      <name val="Cambria"/>
      <family val="0"/>
      <charset val="1"/>
    </font>
    <font>
      <b val="true"/>
      <sz val="10"/>
      <color rgb="FFFFFFFF"/>
      <name val="Cambria"/>
      <family val="0"/>
      <charset val="1"/>
    </font>
    <font>
      <b val="true"/>
      <sz val="11"/>
      <name val="Cambria"/>
      <family val="0"/>
      <charset val="1"/>
    </font>
    <font>
      <sz val="11"/>
      <color rgb="FF008000"/>
      <name val="Cambria"/>
      <family val="0"/>
      <charset val="1"/>
    </font>
    <font>
      <sz val="11"/>
      <color rgb="FF0000FF"/>
      <name val="Cambria"/>
      <family val="0"/>
      <charset val="1"/>
    </font>
    <font>
      <b val="true"/>
      <sz val="11"/>
      <color rgb="FF1F3864"/>
      <name val="Cambria"/>
      <family val="0"/>
      <charset val="1"/>
    </font>
    <font>
      <i val="true"/>
      <sz val="9"/>
      <color rgb="FF595959"/>
      <name val="Cambria"/>
      <family val="0"/>
      <charset val="1"/>
    </font>
    <font>
      <b val="true"/>
      <sz val="11"/>
      <color rgb="FF0000FF"/>
      <name val="Cambria"/>
      <family val="0"/>
      <charset val="1"/>
    </font>
    <font>
      <b val="true"/>
      <sz val="11"/>
      <color rgb="FFFFFFFF"/>
      <name val="Cambria"/>
      <family val="0"/>
      <charset val="1"/>
    </font>
    <font>
      <sz val="11"/>
      <name val="Cambria"/>
      <family val="0"/>
      <charset val="1"/>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D9E2F3"/>
        <bgColor rgb="FFCC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2" borderId="0" xfId="0" applyFont="true" applyBorder="false" applyAlignment="true" applyProtection="true">
      <alignment horizontal="left" vertical="center" textRotation="0" wrapText="true" indent="0" shrinkToFit="false"/>
      <protection locked="true" hidden="false"/>
    </xf>
    <xf numFmtId="164" fontId="6" fillId="2" borderId="0" xfId="0" applyFont="true" applyBorder="false" applyAlignment="true" applyProtection="true">
      <alignment horizontal="right" vertical="center"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right" vertical="bottom" textRotation="0" wrapText="false" indent="0" shrinkToFit="false"/>
      <protection locked="true" hidden="false"/>
    </xf>
    <xf numFmtId="164" fontId="0" fillId="0" borderId="0" xfId="0" applyFont="true" applyBorder="false" applyAlignment="true" applyProtection="true">
      <alignment horizontal="general" vertical="top" textRotation="0" wrapText="true" indent="0" shrinkToFit="false"/>
      <protection locked="true" hidden="false"/>
    </xf>
    <xf numFmtId="165" fontId="8" fillId="0" borderId="0" xfId="0" applyFont="true" applyBorder="false" applyAlignment="true" applyProtection="true">
      <alignment horizontal="right" vertical="bottom" textRotation="0" wrapText="false" indent="0" shrinkToFit="false"/>
      <protection locked="true" hidden="false"/>
    </xf>
    <xf numFmtId="166" fontId="8" fillId="0" borderId="0" xfId="0" applyFont="true" applyBorder="false" applyAlignment="true" applyProtection="true">
      <alignment horizontal="right" vertical="bottom" textRotation="0" wrapText="false" indent="0" shrinkToFit="false"/>
      <protection locked="true" hidden="false"/>
    </xf>
    <xf numFmtId="167" fontId="9" fillId="0" borderId="0" xfId="0" applyFont="true" applyBorder="false" applyAlignment="true" applyProtection="true">
      <alignment horizontal="right" vertical="bottom" textRotation="0" wrapText="false" indent="0" shrinkToFit="false"/>
      <protection locked="true" hidden="false"/>
    </xf>
    <xf numFmtId="164" fontId="9" fillId="0" borderId="0" xfId="0" applyFont="true" applyBorder="false" applyAlignment="true" applyProtection="true">
      <alignment horizontal="right"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5" fontId="9" fillId="0" borderId="0" xfId="0" applyFont="true" applyBorder="false" applyAlignment="true" applyProtection="true">
      <alignment horizontal="general" vertical="bottom" textRotation="0" wrapText="false" indent="0" shrinkToFit="false"/>
      <protection locked="true" hidden="false"/>
    </xf>
    <xf numFmtId="168" fontId="9" fillId="0" borderId="0" xfId="0" applyFont="true" applyBorder="false" applyAlignment="true" applyProtection="true">
      <alignment horizontal="general" vertical="bottom" textRotation="0" wrapText="false" indent="0" shrinkToFit="false"/>
      <protection locked="true" hidden="false"/>
    </xf>
    <xf numFmtId="169" fontId="9" fillId="0" borderId="0" xfId="0" applyFont="true" applyBorder="false" applyAlignment="true" applyProtection="true">
      <alignment horizontal="general" vertical="bottom" textRotation="0" wrapText="false" indent="0" shrinkToFit="false"/>
      <protection locked="true" hidden="false"/>
    </xf>
    <xf numFmtId="170" fontId="12" fillId="3" borderId="0" xfId="0" applyFont="true" applyBorder="false" applyAlignment="true" applyProtection="true">
      <alignment horizontal="general" vertical="bottom" textRotation="0" wrapText="false" indent="0" shrinkToFit="false"/>
      <protection locked="true" hidden="false"/>
    </xf>
    <xf numFmtId="171" fontId="9" fillId="0" borderId="0" xfId="0" applyFont="true" applyBorder="false" applyAlignment="true" applyProtection="true">
      <alignment horizontal="general" vertical="bottom" textRotation="0" wrapText="false" indent="0" shrinkToFit="false"/>
      <protection locked="true" hidden="false"/>
    </xf>
    <xf numFmtId="166" fontId="9" fillId="0" borderId="0" xfId="0" applyFont="true" applyBorder="false" applyAlignment="true" applyProtection="true">
      <alignment horizontal="general" vertical="bottom" textRotation="0" wrapText="false" indent="0" shrinkToFit="false"/>
      <protection locked="true" hidden="false"/>
    </xf>
    <xf numFmtId="171" fontId="12" fillId="3" borderId="0" xfId="0" applyFont="true" applyBorder="false" applyAlignment="true" applyProtection="true">
      <alignment horizontal="general" vertical="bottom" textRotation="0" wrapText="false" indent="0" shrinkToFit="false"/>
      <protection locked="true" hidden="false"/>
    </xf>
    <xf numFmtId="166" fontId="12" fillId="3" borderId="0" xfId="0" applyFont="true" applyBorder="false" applyAlignment="true" applyProtection="true">
      <alignment horizontal="general" vertical="bottom" textRotation="0" wrapText="false" indent="0" shrinkToFit="false"/>
      <protection locked="true" hidden="false"/>
    </xf>
    <xf numFmtId="169" fontId="12" fillId="3" borderId="0" xfId="0" applyFont="true" applyBorder="false" applyAlignment="true" applyProtection="true">
      <alignment horizontal="general" vertical="bottom" textRotation="0" wrapText="false" indent="0" shrinkToFit="false"/>
      <protection locked="true" hidden="false"/>
    </xf>
    <xf numFmtId="171" fontId="8" fillId="0" borderId="0" xfId="0" applyFont="true" applyBorder="false" applyAlignment="true" applyProtection="true">
      <alignment horizontal="right" vertical="bottom" textRotation="0" wrapText="false" indent="0" shrinkToFit="false"/>
      <protection locked="true" hidden="false"/>
    </xf>
    <xf numFmtId="171" fontId="0" fillId="0" borderId="0" xfId="0" applyFont="false" applyBorder="false" applyAlignment="true" applyProtection="true">
      <alignment horizontal="right" vertical="bottom" textRotation="0" wrapText="false" indent="0" shrinkToFit="false"/>
      <protection locked="true" hidden="false"/>
    </xf>
    <xf numFmtId="166" fontId="0" fillId="0" borderId="0" xfId="0" applyFont="false" applyBorder="false" applyAlignment="true" applyProtection="true">
      <alignment horizontal="right" vertical="bottom" textRotation="0" wrapText="false" indent="0" shrinkToFit="false"/>
      <protection locked="true" hidden="false"/>
    </xf>
    <xf numFmtId="171" fontId="8" fillId="0" borderId="0" xfId="0" applyFont="true" applyBorder="false" applyAlignment="true" applyProtection="true">
      <alignment horizontal="general" vertical="bottom" textRotation="0" wrapText="false" indent="0" shrinkToFit="false"/>
      <protection locked="true" hidden="false"/>
    </xf>
    <xf numFmtId="171" fontId="7" fillId="0" borderId="0" xfId="0" applyFont="true" applyBorder="false" applyAlignment="true" applyProtection="true">
      <alignment horizontal="general" vertical="bottom" textRotation="0" wrapText="false" indent="0" shrinkToFit="false"/>
      <protection locked="true" hidden="false"/>
    </xf>
    <xf numFmtId="166" fontId="0" fillId="0" borderId="0" xfId="0" applyFont="false" applyBorder="false" applyAlignment="true" applyProtection="true">
      <alignment horizontal="general" vertical="bottom" textRotation="0" wrapText="false" indent="0" shrinkToFit="false"/>
      <protection locked="true" hidden="false"/>
    </xf>
    <xf numFmtId="171" fontId="0" fillId="0" borderId="0" xfId="0" applyFont="false" applyBorder="false" applyAlignment="true" applyProtection="true">
      <alignment horizontal="general" vertical="bottom" textRotation="0" wrapText="false" indent="0" shrinkToFit="false"/>
      <protection locked="true" hidden="false"/>
    </xf>
    <xf numFmtId="172" fontId="0" fillId="0" borderId="0" xfId="0" applyFont="false" applyBorder="false" applyAlignment="true" applyProtection="true">
      <alignment horizontal="general" vertical="bottom" textRotation="0" wrapText="false" indent="0" shrinkToFit="false"/>
      <protection locked="true" hidden="false"/>
    </xf>
    <xf numFmtId="165" fontId="7" fillId="0" borderId="0" xfId="0" applyFont="true" applyBorder="false" applyAlignment="true" applyProtection="tru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73" fontId="0" fillId="0" borderId="0" xfId="0" applyFont="false" applyBorder="false" applyAlignment="true" applyProtection="true">
      <alignment horizontal="general" vertical="bottom" textRotation="0" wrapText="false" indent="0" shrinkToFit="false"/>
      <protection locked="true" hidden="false"/>
    </xf>
    <xf numFmtId="174" fontId="9" fillId="0" borderId="0" xfId="0" applyFont="true" applyBorder="false" applyAlignment="true" applyProtection="true">
      <alignment horizontal="general" vertical="bottom" textRotation="0" wrapText="false" indent="0" shrinkToFit="false"/>
      <protection locked="true" hidden="false"/>
    </xf>
    <xf numFmtId="175" fontId="0" fillId="0" borderId="0" xfId="0" applyFont="false" applyBorder="false" applyAlignment="true" applyProtection="true">
      <alignment horizontal="general" vertical="bottom" textRotation="0" wrapText="false" indent="0" shrinkToFit="false"/>
      <protection locked="true" hidden="false"/>
    </xf>
    <xf numFmtId="169" fontId="8" fillId="0" borderId="0" xfId="0" applyFont="true" applyBorder="false" applyAlignment="true" applyProtection="true">
      <alignment horizontal="general" vertical="bottom" textRotation="0" wrapText="false" indent="0" shrinkToFit="false"/>
      <protection locked="true" hidden="false"/>
    </xf>
    <xf numFmtId="170" fontId="8" fillId="0" borderId="0" xfId="0" applyFont="true" applyBorder="false" applyAlignment="true" applyProtection="true">
      <alignment horizontal="general" vertical="bottom" textRotation="0" wrapText="false" indent="0" shrinkToFit="false"/>
      <protection locked="true" hidden="false"/>
    </xf>
    <xf numFmtId="169" fontId="0" fillId="0" borderId="0" xfId="0" applyFont="false" applyBorder="false" applyAlignment="true" applyProtection="true">
      <alignment horizontal="general" vertical="bottom" textRotation="0" wrapText="false" indent="0" shrinkToFit="false"/>
      <protection locked="true" hidden="false"/>
    </xf>
    <xf numFmtId="176" fontId="0" fillId="0" borderId="0" xfId="0" applyFont="false" applyBorder="false" applyAlignment="true" applyProtection="true">
      <alignment horizontal="general" vertical="bottom" textRotation="0" wrapText="false" indent="0" shrinkToFit="false"/>
      <protection locked="true" hidden="false"/>
    </xf>
    <xf numFmtId="172" fontId="8" fillId="0" borderId="0" xfId="0" applyFont="true" applyBorder="false" applyAlignment="true" applyProtection="true">
      <alignment horizontal="general" vertical="bottom" textRotation="0" wrapText="false" indent="0" shrinkToFit="false"/>
      <protection locked="true" hidden="false"/>
    </xf>
    <xf numFmtId="165" fontId="7" fillId="4" borderId="0" xfId="0" applyFont="true" applyBorder="false" applyAlignment="true" applyProtection="true">
      <alignment horizontal="general" vertical="bottom" textRotation="0" wrapText="false" indent="0" shrinkToFit="false"/>
      <protection locked="true" hidden="false"/>
    </xf>
    <xf numFmtId="165" fontId="8" fillId="0" borderId="0" xfId="0" applyFont="true" applyBorder="false" applyAlignment="true" applyProtection="true">
      <alignment horizontal="general" vertical="bottom" textRotation="0" wrapText="false" indent="0" shrinkToFit="false"/>
      <protection locked="true" hidden="false"/>
    </xf>
    <xf numFmtId="164" fontId="7" fillId="4" borderId="0" xfId="0" applyFont="true" applyBorder="false" applyAlignment="true" applyProtection="true">
      <alignment horizontal="general" vertical="bottom" textRotation="0" wrapText="false" indent="0" shrinkToFit="false"/>
      <protection locked="true" hidden="false"/>
    </xf>
    <xf numFmtId="177" fontId="0" fillId="0" borderId="0" xfId="0" applyFont="false" applyBorder="false" applyAlignment="true" applyProtection="true">
      <alignment horizontal="general" vertical="bottom" textRotation="0" wrapText="false" indent="0" shrinkToFit="false"/>
      <protection locked="true" hidden="false"/>
    </xf>
    <xf numFmtId="166" fontId="8" fillId="0" borderId="0" xfId="0" applyFont="true" applyBorder="false" applyAlignment="true" applyProtection="true">
      <alignment horizontal="general" vertical="bottom" textRotation="0" wrapText="false" indent="0" shrinkToFit="false"/>
      <protection locked="true" hidden="false"/>
    </xf>
    <xf numFmtId="176" fontId="12" fillId="3" borderId="0" xfId="0" applyFont="true" applyBorder="false" applyAlignment="true" applyProtection="true">
      <alignment horizontal="general" vertical="bottom" textRotation="0" wrapText="false" indent="0" shrinkToFit="false"/>
      <protection locked="true" hidden="false"/>
    </xf>
    <xf numFmtId="170" fontId="13" fillId="2" borderId="0" xfId="0" applyFont="true" applyBorder="false" applyAlignment="true" applyProtection="true">
      <alignment horizontal="right" vertical="bottom" textRotation="0" wrapText="false" indent="0" shrinkToFit="false"/>
      <protection locked="true" hidden="false"/>
    </xf>
    <xf numFmtId="170" fontId="9" fillId="0" borderId="0" xfId="0" applyFont="true" applyBorder="false" applyAlignment="true" applyProtection="true">
      <alignment horizontal="general" vertical="bottom" textRotation="0" wrapText="false" indent="0" shrinkToFit="false"/>
      <protection locked="true" hidden="false"/>
    </xf>
    <xf numFmtId="167" fontId="0" fillId="0" borderId="0" xfId="0" applyFont="false" applyBorder="false" applyAlignment="true" applyProtection="true">
      <alignment horizontal="general" vertical="bottom" textRotation="0" wrapText="false" indent="0" shrinkToFit="false"/>
      <protection locked="true" hidden="false"/>
    </xf>
    <xf numFmtId="167" fontId="0" fillId="4" borderId="0" xfId="0" applyFont="false" applyBorder="false" applyAlignment="true" applyProtection="true">
      <alignment horizontal="general" vertical="bottom" textRotation="0" wrapText="false" indent="0" shrinkToFit="false"/>
      <protection locked="true" hidden="false"/>
    </xf>
    <xf numFmtId="177" fontId="9" fillId="0" borderId="0" xfId="0" applyFont="true" applyBorder="false" applyAlignment="true" applyProtection="true">
      <alignment horizontal="general"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40"/>
    <col collapsed="false" customWidth="true" hidden="false" outlineLevel="0" max="2" min="2" style="1" width="24"/>
    <col collapsed="false" customWidth="true" hidden="false" outlineLevel="0" max="3" min="3" style="1" width="90"/>
  </cols>
  <sheetData>
    <row r="1" customFormat="false" ht="15" hidden="false" customHeight="false" outlineLevel="0" collapsed="false">
      <c r="A1" s="2" t="s">
        <v>0</v>
      </c>
    </row>
    <row r="2" customFormat="false" ht="15" hidden="false" customHeight="false" outlineLevel="0" collapsed="false">
      <c r="A2" s="3" t="s">
        <v>1</v>
      </c>
    </row>
    <row r="4" customFormat="false" ht="15" hidden="false" customHeight="false" outlineLevel="0" collapsed="false">
      <c r="A4" s="4" t="s">
        <v>2</v>
      </c>
      <c r="B4" s="5" t="s">
        <v>3</v>
      </c>
      <c r="C4" s="5" t="s">
        <v>4</v>
      </c>
    </row>
    <row r="5" customFormat="false" ht="15" hidden="false" customHeight="false" outlineLevel="0" collapsed="false">
      <c r="A5" s="6" t="s">
        <v>5</v>
      </c>
      <c r="B5" s="7" t="str">
        <f aca="false">Valuation!D24</f>
        <v>LONG</v>
      </c>
      <c r="C5" s="8" t="s">
        <v>6</v>
      </c>
    </row>
    <row r="6" customFormat="false" ht="15" hidden="false" customHeight="false" outlineLevel="0" collapsed="false">
      <c r="A6" s="6" t="s">
        <v>7</v>
      </c>
      <c r="B6" s="9" t="n">
        <f aca="false">Valuation!D21</f>
        <v>162.752409803899</v>
      </c>
      <c r="C6" s="8" t="s">
        <v>8</v>
      </c>
    </row>
    <row r="7" customFormat="false" ht="15" hidden="false" customHeight="false" outlineLevel="0" collapsed="false">
      <c r="A7" s="6" t="s">
        <v>9</v>
      </c>
      <c r="B7" s="9" t="n">
        <f aca="false">Assumptions!$B$7</f>
        <v>128.58</v>
      </c>
      <c r="C7" s="8" t="s">
        <v>10</v>
      </c>
    </row>
    <row r="8" customFormat="false" ht="15" hidden="false" customHeight="false" outlineLevel="0" collapsed="false">
      <c r="A8" s="6" t="s">
        <v>11</v>
      </c>
      <c r="B8" s="10" t="n">
        <f aca="false">Valuation!D23</f>
        <v>0.265767691739761</v>
      </c>
      <c r="C8" s="8"/>
    </row>
    <row r="9" customFormat="false" ht="15" hidden="false" customHeight="false" outlineLevel="0" collapsed="false">
      <c r="A9" s="6" t="s">
        <v>12</v>
      </c>
      <c r="B9" s="9" t="n">
        <f aca="false">Scenarios!E11</f>
        <v>160.437588310795</v>
      </c>
      <c r="C9" s="8" t="s">
        <v>13</v>
      </c>
    </row>
    <row r="10" customFormat="false" ht="15" hidden="false" customHeight="false" outlineLevel="0" collapsed="false">
      <c r="A10" s="6" t="s">
        <v>14</v>
      </c>
      <c r="B10" s="10" t="n">
        <f aca="false">Valuation!D37</f>
        <v>0.528032282014156</v>
      </c>
      <c r="C10" s="8"/>
    </row>
    <row r="11" customFormat="false" ht="15" hidden="false" customHeight="false" outlineLevel="0" collapsed="false">
      <c r="A11" s="6" t="s">
        <v>15</v>
      </c>
      <c r="B11" s="11" t="n">
        <v>160</v>
      </c>
      <c r="C11" s="8" t="s">
        <v>16</v>
      </c>
    </row>
    <row r="12" customFormat="false" ht="15" hidden="false" customHeight="false" outlineLevel="0" collapsed="false">
      <c r="A12" s="6" t="s">
        <v>17</v>
      </c>
      <c r="B12" s="12" t="s">
        <v>18</v>
      </c>
      <c r="C12" s="8" t="s">
        <v>19</v>
      </c>
    </row>
    <row r="13" customFormat="false" ht="15" hidden="false" customHeight="false" outlineLevel="0" collapsed="false">
      <c r="A13" s="6" t="s">
        <v>20</v>
      </c>
      <c r="B13" s="12" t="s">
        <v>21</v>
      </c>
      <c r="C13" s="8"/>
    </row>
    <row r="14" customFormat="false" ht="43.5" hidden="false" customHeight="true" outlineLevel="0" collapsed="false">
      <c r="A14" s="6" t="s">
        <v>22</v>
      </c>
      <c r="B14" s="12" t="s">
        <v>23</v>
      </c>
      <c r="C14" s="8" t="s">
        <v>24</v>
      </c>
    </row>
    <row r="17" customFormat="false" ht="15" hidden="false" customHeight="false" outlineLevel="0" collapsed="false">
      <c r="A17" s="13" t="s">
        <v>25</v>
      </c>
    </row>
    <row r="18" customFormat="false" ht="15" hidden="false" customHeight="false" outlineLevel="0" collapsed="false">
      <c r="A18" s="1" t="s">
        <v>26</v>
      </c>
      <c r="B18" s="1" t="s">
        <v>27</v>
      </c>
    </row>
    <row r="19" customFormat="false" ht="15" hidden="false" customHeight="false" outlineLevel="0" collapsed="false">
      <c r="A19" s="1" t="s">
        <v>28</v>
      </c>
      <c r="B19" s="1" t="s">
        <v>29</v>
      </c>
    </row>
    <row r="20" customFormat="false" ht="15" hidden="false" customHeight="false" outlineLevel="0" collapsed="false">
      <c r="A20" s="1" t="s">
        <v>30</v>
      </c>
      <c r="B20" s="1" t="s">
        <v>31</v>
      </c>
    </row>
    <row r="21" customFormat="false" ht="15" hidden="false" customHeight="false" outlineLevel="0" collapsed="false">
      <c r="A21" s="1" t="s">
        <v>32</v>
      </c>
      <c r="B21" s="1" t="s">
        <v>33</v>
      </c>
    </row>
    <row r="22" customFormat="false" ht="15" hidden="false" customHeight="false" outlineLevel="0" collapsed="false">
      <c r="A22" s="1" t="s">
        <v>34</v>
      </c>
      <c r="B22" s="1" t="s">
        <v>35</v>
      </c>
    </row>
    <row r="23" customFormat="false" ht="15" hidden="false" customHeight="false" outlineLevel="0" collapsed="false">
      <c r="A23" s="1" t="s">
        <v>36</v>
      </c>
      <c r="B23" s="1" t="s">
        <v>37</v>
      </c>
    </row>
    <row r="24" customFormat="false" ht="15" hidden="false" customHeight="false" outlineLevel="0" collapsed="false">
      <c r="A24" s="1" t="s">
        <v>38</v>
      </c>
      <c r="B24" s="1" t="s">
        <v>39</v>
      </c>
    </row>
    <row r="25" customFormat="false" ht="15" hidden="false" customHeight="false" outlineLevel="0" collapsed="false">
      <c r="A25" s="1" t="s">
        <v>40</v>
      </c>
      <c r="B25" s="1" t="s">
        <v>41</v>
      </c>
    </row>
    <row r="28" customFormat="false" ht="15" hidden="false" customHeight="false" outlineLevel="0" collapsed="false">
      <c r="A28" s="14" t="s">
        <v>42</v>
      </c>
    </row>
    <row r="29" customFormat="false" ht="15" hidden="false" customHeight="false" outlineLevel="0" collapsed="false">
      <c r="A29" s="14" t="s">
        <v>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58"/>
    <col collapsed="false" customWidth="true" hidden="false" outlineLevel="0" max="2" min="2" style="1" width="14"/>
    <col collapsed="false" customWidth="true" hidden="false" outlineLevel="0" max="3" min="3" style="1" width="10"/>
    <col collapsed="false" customWidth="true" hidden="false" outlineLevel="0" max="4" min="4" style="1" width="100"/>
  </cols>
  <sheetData>
    <row r="1" customFormat="false" ht="15" hidden="false" customHeight="false" outlineLevel="0" collapsed="false">
      <c r="A1" s="2" t="s">
        <v>44</v>
      </c>
    </row>
    <row r="2" customFormat="false" ht="15" hidden="false" customHeight="false" outlineLevel="0" collapsed="false">
      <c r="A2" s="3" t="s">
        <v>1</v>
      </c>
    </row>
    <row r="3" customFormat="false" ht="15" hidden="false" customHeight="false" outlineLevel="0" collapsed="false">
      <c r="A3" s="14" t="s">
        <v>45</v>
      </c>
    </row>
    <row r="5" customFormat="false" ht="15" hidden="false" customHeight="false" outlineLevel="0" collapsed="false">
      <c r="A5" s="4" t="s">
        <v>46</v>
      </c>
      <c r="B5" s="5" t="s">
        <v>3</v>
      </c>
      <c r="C5" s="5" t="s">
        <v>47</v>
      </c>
      <c r="D5" s="5" t="s">
        <v>48</v>
      </c>
    </row>
    <row r="6" customFormat="false" ht="15" hidden="false" customHeight="false" outlineLevel="0" collapsed="false">
      <c r="A6" s="13" t="s">
        <v>49</v>
      </c>
    </row>
    <row r="7" customFormat="false" ht="15" hidden="false" customHeight="false" outlineLevel="0" collapsed="false">
      <c r="A7" s="1" t="s">
        <v>50</v>
      </c>
      <c r="B7" s="15" t="n">
        <v>128.58</v>
      </c>
      <c r="C7" s="1" t="s">
        <v>51</v>
      </c>
      <c r="D7" s="8" t="s">
        <v>52</v>
      </c>
    </row>
    <row r="8" customFormat="false" ht="15" hidden="false" customHeight="false" outlineLevel="0" collapsed="false">
      <c r="A8" s="1" t="s">
        <v>53</v>
      </c>
      <c r="B8" s="15" t="n">
        <v>187.62</v>
      </c>
      <c r="C8" s="1" t="s">
        <v>51</v>
      </c>
      <c r="D8" s="8" t="s">
        <v>54</v>
      </c>
    </row>
    <row r="9" customFormat="false" ht="15" hidden="false" customHeight="false" outlineLevel="0" collapsed="false">
      <c r="A9" s="1" t="s">
        <v>55</v>
      </c>
      <c r="B9" s="15" t="n">
        <v>6.25</v>
      </c>
      <c r="C9" s="1" t="s">
        <v>51</v>
      </c>
      <c r="D9" s="8" t="s">
        <v>56</v>
      </c>
    </row>
    <row r="10" customFormat="false" ht="15" hidden="false" customHeight="false" outlineLevel="0" collapsed="false">
      <c r="A10" s="1" t="s">
        <v>57</v>
      </c>
      <c r="B10" s="15" t="n">
        <v>192.55</v>
      </c>
      <c r="C10" s="1" t="s">
        <v>51</v>
      </c>
      <c r="D10" s="8" t="s">
        <v>58</v>
      </c>
    </row>
    <row r="11" customFormat="false" ht="15" hidden="false" customHeight="false" outlineLevel="0" collapsed="false">
      <c r="A11" s="13" t="s">
        <v>59</v>
      </c>
    </row>
    <row r="12" customFormat="false" ht="15" hidden="false" customHeight="false" outlineLevel="0" collapsed="false">
      <c r="A12" s="1" t="s">
        <v>60</v>
      </c>
      <c r="B12" s="16" t="n">
        <v>861.104914</v>
      </c>
      <c r="C12" s="1" t="s">
        <v>61</v>
      </c>
      <c r="D12" s="8" t="s">
        <v>62</v>
      </c>
    </row>
    <row r="13" customFormat="false" ht="15" hidden="false" customHeight="false" outlineLevel="0" collapsed="false">
      <c r="A13" s="1" t="s">
        <v>63</v>
      </c>
      <c r="B13" s="16" t="n">
        <v>5.761</v>
      </c>
      <c r="C13" s="1" t="s">
        <v>61</v>
      </c>
      <c r="D13" s="8" t="s">
        <v>64</v>
      </c>
    </row>
    <row r="14" customFormat="false" ht="15" hidden="false" customHeight="false" outlineLevel="0" collapsed="false">
      <c r="A14" s="1" t="s">
        <v>65</v>
      </c>
      <c r="B14" s="16" t="n">
        <v>12.618469</v>
      </c>
      <c r="C14" s="1" t="s">
        <v>61</v>
      </c>
      <c r="D14" s="8" t="s">
        <v>66</v>
      </c>
    </row>
    <row r="15" customFormat="false" ht="15" hidden="false" customHeight="false" outlineLevel="0" collapsed="false">
      <c r="A15" s="1" t="s">
        <v>67</v>
      </c>
      <c r="B15" s="16" t="n">
        <v>6.467098</v>
      </c>
      <c r="C15" s="1" t="s">
        <v>61</v>
      </c>
      <c r="D15" s="8" t="s">
        <v>68</v>
      </c>
    </row>
    <row r="16" customFormat="false" ht="15" hidden="false" customHeight="false" outlineLevel="0" collapsed="false">
      <c r="A16" s="1" t="s">
        <v>69</v>
      </c>
      <c r="B16" s="16" t="n">
        <v>4.513232</v>
      </c>
      <c r="C16" s="1" t="s">
        <v>61</v>
      </c>
      <c r="D16" s="8" t="s">
        <v>70</v>
      </c>
    </row>
    <row r="17" customFormat="false" ht="15" hidden="false" customHeight="false" outlineLevel="0" collapsed="false">
      <c r="A17" s="1" t="s">
        <v>71</v>
      </c>
      <c r="B17" s="16" t="n">
        <v>4.644</v>
      </c>
      <c r="C17" s="1" t="s">
        <v>61</v>
      </c>
      <c r="D17" s="8" t="s">
        <v>72</v>
      </c>
    </row>
    <row r="18" customFormat="false" ht="15" hidden="false" customHeight="false" outlineLevel="0" collapsed="false">
      <c r="A18" s="13" t="s">
        <v>73</v>
      </c>
    </row>
    <row r="19" customFormat="false" ht="15" hidden="false" customHeight="false" outlineLevel="0" collapsed="false">
      <c r="A19" s="1" t="s">
        <v>74</v>
      </c>
      <c r="B19" s="17" t="n">
        <v>7.719</v>
      </c>
      <c r="C19" s="1" t="s">
        <v>75</v>
      </c>
      <c r="D19" s="8" t="s">
        <v>76</v>
      </c>
    </row>
    <row r="20" customFormat="false" ht="15" hidden="false" customHeight="false" outlineLevel="0" collapsed="false">
      <c r="A20" s="1" t="s">
        <v>77</v>
      </c>
      <c r="B20" s="17" t="n">
        <v>1.2634</v>
      </c>
      <c r="C20" s="1" t="s">
        <v>75</v>
      </c>
      <c r="D20" s="8" t="s">
        <v>78</v>
      </c>
    </row>
    <row r="21" customFormat="false" ht="15" hidden="false" customHeight="false" outlineLevel="0" collapsed="false">
      <c r="A21" s="1" t="s">
        <v>79</v>
      </c>
      <c r="B21" s="17" t="n">
        <v>1.853</v>
      </c>
      <c r="C21" s="1" t="s">
        <v>75</v>
      </c>
      <c r="D21" s="8" t="s">
        <v>80</v>
      </c>
    </row>
    <row r="22" customFormat="false" ht="15" hidden="false" customHeight="false" outlineLevel="0" collapsed="false">
      <c r="A22" s="1" t="s">
        <v>81</v>
      </c>
      <c r="B22" s="17" t="n">
        <v>0.3</v>
      </c>
      <c r="C22" s="1" t="s">
        <v>75</v>
      </c>
      <c r="D22" s="8" t="s">
        <v>82</v>
      </c>
    </row>
    <row r="23" customFormat="false" ht="15" hidden="false" customHeight="false" outlineLevel="0" collapsed="false">
      <c r="A23" s="1" t="s">
        <v>83</v>
      </c>
      <c r="B23" s="18" t="n">
        <v>15</v>
      </c>
      <c r="C23" s="1" t="s">
        <v>84</v>
      </c>
      <c r="D23" s="8" t="s">
        <v>85</v>
      </c>
    </row>
    <row r="24" customFormat="false" ht="15" hidden="false" customHeight="false" outlineLevel="0" collapsed="false">
      <c r="A24" s="1" t="s">
        <v>86</v>
      </c>
      <c r="B24" s="17" t="n">
        <v>28.071</v>
      </c>
      <c r="C24" s="1" t="s">
        <v>75</v>
      </c>
      <c r="D24" s="8" t="s">
        <v>87</v>
      </c>
    </row>
    <row r="25" customFormat="false" ht="15" hidden="false" customHeight="false" outlineLevel="0" collapsed="false">
      <c r="A25" s="13" t="s">
        <v>88</v>
      </c>
    </row>
    <row r="26" customFormat="false" ht="15" hidden="false" customHeight="false" outlineLevel="0" collapsed="false">
      <c r="A26" s="1" t="s">
        <v>89</v>
      </c>
      <c r="B26" s="19" t="n">
        <v>12198</v>
      </c>
      <c r="C26" s="1" t="s">
        <v>90</v>
      </c>
      <c r="D26" s="8" t="s">
        <v>91</v>
      </c>
    </row>
    <row r="27" customFormat="false" ht="15" hidden="false" customHeight="false" outlineLevel="0" collapsed="false">
      <c r="A27" s="1" t="s">
        <v>92</v>
      </c>
      <c r="B27" s="20" t="n">
        <v>0.13</v>
      </c>
      <c r="C27" s="1" t="s">
        <v>93</v>
      </c>
      <c r="D27" s="8" t="s">
        <v>94</v>
      </c>
    </row>
    <row r="28" customFormat="false" ht="15" hidden="false" customHeight="false" outlineLevel="0" collapsed="false">
      <c r="A28" s="1" t="s">
        <v>95</v>
      </c>
      <c r="B28" s="19" t="n">
        <v>10331</v>
      </c>
      <c r="C28" s="1" t="s">
        <v>90</v>
      </c>
      <c r="D28" s="8" t="s">
        <v>96</v>
      </c>
    </row>
    <row r="29" customFormat="false" ht="15" hidden="false" customHeight="false" outlineLevel="0" collapsed="false">
      <c r="A29" s="1" t="s">
        <v>97</v>
      </c>
      <c r="B29" s="19" t="n">
        <v>1715</v>
      </c>
      <c r="C29" s="1" t="s">
        <v>90</v>
      </c>
      <c r="D29" s="8" t="s">
        <v>96</v>
      </c>
    </row>
    <row r="30" customFormat="false" ht="15" hidden="false" customHeight="false" outlineLevel="0" collapsed="false">
      <c r="A30" s="1" t="s">
        <v>98</v>
      </c>
      <c r="B30" s="21" t="n">
        <v>3600</v>
      </c>
      <c r="C30" s="1" t="s">
        <v>90</v>
      </c>
      <c r="D30" s="8" t="s">
        <v>99</v>
      </c>
    </row>
    <row r="31" customFormat="false" ht="15" hidden="false" customHeight="false" outlineLevel="0" collapsed="false">
      <c r="A31" s="1" t="s">
        <v>100</v>
      </c>
      <c r="B31" s="22" t="n">
        <v>0.15</v>
      </c>
      <c r="C31" s="1" t="s">
        <v>93</v>
      </c>
      <c r="D31" s="8" t="s">
        <v>101</v>
      </c>
    </row>
    <row r="32" customFormat="false" ht="15" hidden="false" customHeight="false" outlineLevel="0" collapsed="false">
      <c r="A32" s="1" t="s">
        <v>102</v>
      </c>
      <c r="B32" s="22" t="n">
        <v>0.17</v>
      </c>
      <c r="C32" s="1" t="s">
        <v>93</v>
      </c>
      <c r="D32" s="8" t="s">
        <v>103</v>
      </c>
    </row>
    <row r="33" customFormat="false" ht="15" hidden="false" customHeight="false" outlineLevel="0" collapsed="false">
      <c r="A33" s="1" t="s">
        <v>104</v>
      </c>
      <c r="B33" s="22" t="n">
        <v>0.18</v>
      </c>
      <c r="C33" s="1" t="s">
        <v>93</v>
      </c>
      <c r="D33" s="8" t="s">
        <v>105</v>
      </c>
    </row>
    <row r="34" customFormat="false" ht="15" hidden="false" customHeight="false" outlineLevel="0" collapsed="false">
      <c r="A34" s="13" t="s">
        <v>106</v>
      </c>
    </row>
    <row r="35" customFormat="false" ht="15" hidden="false" customHeight="false" outlineLevel="0" collapsed="false">
      <c r="A35" s="1" t="s">
        <v>107</v>
      </c>
      <c r="B35" s="19" t="n">
        <v>11305</v>
      </c>
      <c r="C35" s="1" t="s">
        <v>90</v>
      </c>
      <c r="D35" s="8" t="s">
        <v>91</v>
      </c>
    </row>
    <row r="36" customFormat="false" ht="15" hidden="false" customHeight="false" outlineLevel="0" collapsed="false">
      <c r="A36" s="1" t="s">
        <v>108</v>
      </c>
      <c r="B36" s="20" t="n">
        <v>0.158</v>
      </c>
      <c r="C36" s="1" t="s">
        <v>93</v>
      </c>
      <c r="D36" s="8" t="s">
        <v>94</v>
      </c>
    </row>
    <row r="37" customFormat="false" ht="15" hidden="false" customHeight="false" outlineLevel="0" collapsed="false">
      <c r="A37" s="1" t="s">
        <v>109</v>
      </c>
      <c r="B37" s="19" t="n">
        <v>9744</v>
      </c>
      <c r="C37" s="1" t="s">
        <v>90</v>
      </c>
      <c r="D37" s="8" t="s">
        <v>96</v>
      </c>
    </row>
    <row r="38" customFormat="false" ht="15" hidden="false" customHeight="false" outlineLevel="0" collapsed="false">
      <c r="A38" s="1" t="s">
        <v>110</v>
      </c>
      <c r="B38" s="19" t="n">
        <v>1784</v>
      </c>
      <c r="C38" s="1" t="s">
        <v>90</v>
      </c>
      <c r="D38" s="8" t="s">
        <v>96</v>
      </c>
    </row>
    <row r="39" customFormat="false" ht="15" hidden="false" customHeight="false" outlineLevel="0" collapsed="false">
      <c r="A39" s="1" t="s">
        <v>111</v>
      </c>
      <c r="B39" s="21" t="n">
        <v>4100</v>
      </c>
      <c r="C39" s="1" t="s">
        <v>90</v>
      </c>
      <c r="D39" s="8" t="s">
        <v>99</v>
      </c>
    </row>
    <row r="40" customFormat="false" ht="15" hidden="false" customHeight="false" outlineLevel="0" collapsed="false">
      <c r="A40" s="1" t="s">
        <v>112</v>
      </c>
      <c r="B40" s="22" t="n">
        <v>0.2</v>
      </c>
      <c r="C40" s="1" t="s">
        <v>93</v>
      </c>
      <c r="D40" s="8" t="s">
        <v>101</v>
      </c>
    </row>
    <row r="41" customFormat="false" ht="15" hidden="false" customHeight="false" outlineLevel="0" collapsed="false">
      <c r="A41" s="1" t="s">
        <v>113</v>
      </c>
      <c r="B41" s="22" t="n">
        <v>0.18</v>
      </c>
      <c r="C41" s="1" t="s">
        <v>93</v>
      </c>
      <c r="D41" s="8" t="s">
        <v>114</v>
      </c>
    </row>
    <row r="42" customFormat="false" ht="15" hidden="false" customHeight="false" outlineLevel="0" collapsed="false">
      <c r="A42" s="1" t="s">
        <v>115</v>
      </c>
      <c r="B42" s="22" t="n">
        <v>0.2</v>
      </c>
      <c r="C42" s="1" t="s">
        <v>93</v>
      </c>
      <c r="D42" s="8" t="s">
        <v>105</v>
      </c>
    </row>
    <row r="43" customFormat="false" ht="15" hidden="false" customHeight="false" outlineLevel="0" collapsed="false">
      <c r="A43" s="13" t="s">
        <v>116</v>
      </c>
    </row>
    <row r="44" customFormat="false" ht="15" hidden="false" customHeight="false" outlineLevel="0" collapsed="false">
      <c r="A44" s="1" t="s">
        <v>117</v>
      </c>
      <c r="B44" s="19" t="n">
        <v>5723</v>
      </c>
      <c r="C44" s="1" t="s">
        <v>90</v>
      </c>
      <c r="D44" s="8" t="s">
        <v>91</v>
      </c>
    </row>
    <row r="45" customFormat="false" ht="15" hidden="false" customHeight="false" outlineLevel="0" collapsed="false">
      <c r="A45" s="1" t="s">
        <v>118</v>
      </c>
      <c r="B45" s="20" t="n">
        <v>0.113</v>
      </c>
      <c r="C45" s="1" t="s">
        <v>93</v>
      </c>
      <c r="D45" s="8" t="s">
        <v>94</v>
      </c>
    </row>
    <row r="46" customFormat="false" ht="15" hidden="false" customHeight="false" outlineLevel="0" collapsed="false">
      <c r="A46" s="1" t="s">
        <v>119</v>
      </c>
      <c r="B46" s="19" t="n">
        <v>4251</v>
      </c>
      <c r="C46" s="1" t="s">
        <v>90</v>
      </c>
      <c r="D46" s="8" t="s">
        <v>96</v>
      </c>
    </row>
    <row r="47" customFormat="false" ht="15" hidden="false" customHeight="false" outlineLevel="0" collapsed="false">
      <c r="A47" s="1" t="s">
        <v>120</v>
      </c>
      <c r="B47" s="19" t="n">
        <v>543</v>
      </c>
      <c r="C47" s="1" t="s">
        <v>90</v>
      </c>
      <c r="D47" s="8" t="s">
        <v>96</v>
      </c>
    </row>
    <row r="48" customFormat="false" ht="15" hidden="false" customHeight="false" outlineLevel="0" collapsed="false">
      <c r="A48" s="1" t="s">
        <v>121</v>
      </c>
      <c r="B48" s="21" t="n">
        <v>1700</v>
      </c>
      <c r="C48" s="1" t="s">
        <v>90</v>
      </c>
      <c r="D48" s="8" t="s">
        <v>99</v>
      </c>
    </row>
    <row r="49" customFormat="false" ht="15" hidden="false" customHeight="false" outlineLevel="0" collapsed="false">
      <c r="A49" s="1" t="s">
        <v>122</v>
      </c>
      <c r="B49" s="22" t="n">
        <v>0.13</v>
      </c>
      <c r="C49" s="1" t="s">
        <v>93</v>
      </c>
      <c r="D49" s="8" t="s">
        <v>101</v>
      </c>
    </row>
    <row r="50" customFormat="false" ht="15" hidden="false" customHeight="false" outlineLevel="0" collapsed="false">
      <c r="A50" s="1" t="s">
        <v>123</v>
      </c>
      <c r="B50" s="22" t="n">
        <v>0.06</v>
      </c>
      <c r="C50" s="1" t="s">
        <v>93</v>
      </c>
      <c r="D50" s="8" t="s">
        <v>124</v>
      </c>
    </row>
    <row r="51" customFormat="false" ht="15" hidden="false" customHeight="false" outlineLevel="0" collapsed="false">
      <c r="A51" s="1" t="s">
        <v>125</v>
      </c>
      <c r="B51" s="22" t="n">
        <v>0.13</v>
      </c>
      <c r="C51" s="1" t="s">
        <v>93</v>
      </c>
      <c r="D51" s="8" t="s">
        <v>126</v>
      </c>
    </row>
    <row r="52" customFormat="false" ht="15" hidden="false" customHeight="false" outlineLevel="0" collapsed="false">
      <c r="A52" s="13" t="s">
        <v>127</v>
      </c>
    </row>
    <row r="53" customFormat="false" ht="15" hidden="false" customHeight="false" outlineLevel="0" collapsed="false">
      <c r="A53" s="1" t="s">
        <v>128</v>
      </c>
      <c r="B53" s="19" t="n">
        <v>10375</v>
      </c>
      <c r="C53" s="1" t="s">
        <v>90</v>
      </c>
      <c r="D53" s="8" t="s">
        <v>91</v>
      </c>
    </row>
    <row r="54" customFormat="false" ht="15" hidden="false" customHeight="false" outlineLevel="0" collapsed="false">
      <c r="A54" s="1" t="s">
        <v>129</v>
      </c>
      <c r="B54" s="20" t="n">
        <v>-0.131</v>
      </c>
      <c r="C54" s="1" t="s">
        <v>93</v>
      </c>
      <c r="D54" s="8" t="s">
        <v>94</v>
      </c>
    </row>
    <row r="55" customFormat="false" ht="15" hidden="false" customHeight="false" outlineLevel="0" collapsed="false">
      <c r="A55" s="1" t="s">
        <v>130</v>
      </c>
      <c r="B55" s="19" t="n">
        <v>7624</v>
      </c>
      <c r="C55" s="1" t="s">
        <v>90</v>
      </c>
      <c r="D55" s="8" t="s">
        <v>96</v>
      </c>
    </row>
    <row r="56" customFormat="false" ht="15" hidden="false" customHeight="false" outlineLevel="0" collapsed="false">
      <c r="A56" s="1" t="s">
        <v>131</v>
      </c>
      <c r="B56" s="19" t="n">
        <v>-15</v>
      </c>
      <c r="C56" s="1" t="s">
        <v>90</v>
      </c>
      <c r="D56" s="8" t="s">
        <v>96</v>
      </c>
    </row>
    <row r="57" customFormat="false" ht="15" hidden="false" customHeight="false" outlineLevel="0" collapsed="false">
      <c r="A57" s="1" t="s">
        <v>132</v>
      </c>
      <c r="B57" s="21" t="n">
        <v>2700</v>
      </c>
      <c r="C57" s="1" t="s">
        <v>90</v>
      </c>
      <c r="D57" s="8" t="s">
        <v>99</v>
      </c>
    </row>
    <row r="58" customFormat="false" ht="15" hidden="false" customHeight="false" outlineLevel="0" collapsed="false">
      <c r="A58" s="1" t="s">
        <v>133</v>
      </c>
      <c r="B58" s="22" t="n">
        <v>0</v>
      </c>
      <c r="C58" s="1" t="s">
        <v>93</v>
      </c>
      <c r="D58" s="8" t="s">
        <v>101</v>
      </c>
    </row>
    <row r="59" customFormat="false" ht="15" hidden="false" customHeight="false" outlineLevel="0" collapsed="false">
      <c r="A59" s="1" t="s">
        <v>134</v>
      </c>
      <c r="B59" s="22" t="n">
        <v>0.04</v>
      </c>
      <c r="C59" s="1" t="s">
        <v>93</v>
      </c>
      <c r="D59" s="8" t="s">
        <v>135</v>
      </c>
    </row>
    <row r="60" customFormat="false" ht="15" hidden="false" customHeight="false" outlineLevel="0" collapsed="false">
      <c r="A60" s="1" t="s">
        <v>136</v>
      </c>
      <c r="B60" s="22" t="n">
        <v>0.02</v>
      </c>
      <c r="C60" s="1" t="s">
        <v>93</v>
      </c>
      <c r="D60" s="8" t="s">
        <v>137</v>
      </c>
    </row>
    <row r="61" customFormat="false" ht="15" hidden="false" customHeight="false" outlineLevel="0" collapsed="false">
      <c r="A61" s="13" t="s">
        <v>138</v>
      </c>
    </row>
    <row r="62" customFormat="false" ht="15" hidden="false" customHeight="false" outlineLevel="0" collapsed="false">
      <c r="A62" s="1" t="s">
        <v>139</v>
      </c>
      <c r="B62" s="19" t="n">
        <v>39100</v>
      </c>
      <c r="C62" s="1" t="s">
        <v>90</v>
      </c>
      <c r="D62" s="8" t="s">
        <v>140</v>
      </c>
    </row>
    <row r="63" customFormat="false" ht="15" hidden="false" customHeight="false" outlineLevel="0" collapsed="false">
      <c r="A63" s="1" t="s">
        <v>141</v>
      </c>
      <c r="B63" s="19" t="n">
        <v>2355</v>
      </c>
      <c r="C63" s="1" t="s">
        <v>90</v>
      </c>
      <c r="D63" s="8" t="s">
        <v>94</v>
      </c>
    </row>
    <row r="64" customFormat="false" ht="15" hidden="false" customHeight="false" outlineLevel="0" collapsed="false">
      <c r="A64" s="1" t="s">
        <v>142</v>
      </c>
      <c r="B64" s="19" t="n">
        <v>-82</v>
      </c>
      <c r="C64" s="1" t="s">
        <v>90</v>
      </c>
      <c r="D64" s="8" t="s">
        <v>96</v>
      </c>
    </row>
    <row r="65" customFormat="false" ht="15" hidden="false" customHeight="false" outlineLevel="0" collapsed="false">
      <c r="A65" s="1" t="s">
        <v>143</v>
      </c>
      <c r="B65" s="21" t="n">
        <v>-300</v>
      </c>
      <c r="C65" s="1" t="s">
        <v>90</v>
      </c>
      <c r="D65" s="8" t="s">
        <v>144</v>
      </c>
    </row>
    <row r="66" customFormat="false" ht="15" hidden="false" customHeight="false" outlineLevel="0" collapsed="false">
      <c r="A66" s="1" t="s">
        <v>145</v>
      </c>
      <c r="B66" s="21" t="n">
        <v>-700</v>
      </c>
      <c r="C66" s="1" t="s">
        <v>90</v>
      </c>
      <c r="D66" s="8" t="s">
        <v>146</v>
      </c>
    </row>
    <row r="67" customFormat="false" ht="15" hidden="false" customHeight="false" outlineLevel="0" collapsed="false">
      <c r="A67" s="1" t="s">
        <v>147</v>
      </c>
      <c r="B67" s="21" t="n">
        <v>-300</v>
      </c>
      <c r="C67" s="1" t="s">
        <v>90</v>
      </c>
      <c r="D67" s="8" t="s">
        <v>101</v>
      </c>
    </row>
    <row r="68" customFormat="false" ht="15" hidden="false" customHeight="false" outlineLevel="0" collapsed="false">
      <c r="A68" s="1" t="s">
        <v>148</v>
      </c>
      <c r="B68" s="21" t="n">
        <v>-700</v>
      </c>
      <c r="C68" s="1" t="s">
        <v>90</v>
      </c>
      <c r="D68" s="8" t="s">
        <v>101</v>
      </c>
    </row>
    <row r="69" customFormat="false" ht="15" hidden="false" customHeight="false" outlineLevel="0" collapsed="false">
      <c r="A69" s="1" t="s">
        <v>149</v>
      </c>
      <c r="B69" s="21" t="n">
        <v>-200</v>
      </c>
      <c r="C69" s="1" t="s">
        <v>90</v>
      </c>
      <c r="D69" s="8" t="s">
        <v>150</v>
      </c>
    </row>
    <row r="70" customFormat="false" ht="15" hidden="false" customHeight="false" outlineLevel="0" collapsed="false">
      <c r="A70" s="1" t="s">
        <v>151</v>
      </c>
      <c r="B70" s="21" t="n">
        <v>-200</v>
      </c>
      <c r="C70" s="1" t="s">
        <v>90</v>
      </c>
      <c r="D70" s="8" t="s">
        <v>152</v>
      </c>
    </row>
    <row r="71" customFormat="false" ht="15" hidden="false" customHeight="false" outlineLevel="0" collapsed="false">
      <c r="A71" s="1" t="s">
        <v>153</v>
      </c>
      <c r="B71" s="21" t="n">
        <v>200</v>
      </c>
      <c r="C71" s="1" t="s">
        <v>90</v>
      </c>
      <c r="D71" s="8" t="s">
        <v>101</v>
      </c>
    </row>
    <row r="72" customFormat="false" ht="15" hidden="false" customHeight="false" outlineLevel="0" collapsed="false">
      <c r="A72" s="1" t="s">
        <v>154</v>
      </c>
      <c r="B72" s="22" t="n">
        <v>0.22</v>
      </c>
      <c r="C72" s="1" t="s">
        <v>93</v>
      </c>
      <c r="D72" s="8" t="s">
        <v>155</v>
      </c>
    </row>
    <row r="73" customFormat="false" ht="15" hidden="false" customHeight="false" outlineLevel="0" collapsed="false">
      <c r="A73" s="1" t="s">
        <v>156</v>
      </c>
      <c r="B73" s="21" t="n">
        <v>300</v>
      </c>
      <c r="C73" s="1" t="s">
        <v>90</v>
      </c>
      <c r="D73" s="8" t="s">
        <v>101</v>
      </c>
    </row>
    <row r="74" customFormat="false" ht="15" hidden="false" customHeight="false" outlineLevel="0" collapsed="false">
      <c r="A74" s="13" t="s">
        <v>157</v>
      </c>
    </row>
    <row r="75" customFormat="false" ht="15" hidden="false" customHeight="false" outlineLevel="0" collapsed="false">
      <c r="A75" s="1" t="s">
        <v>158</v>
      </c>
      <c r="B75" s="18" t="n">
        <v>22</v>
      </c>
      <c r="C75" s="1" t="s">
        <v>84</v>
      </c>
      <c r="D75" s="8" t="s">
        <v>159</v>
      </c>
    </row>
    <row r="76" customFormat="false" ht="15" hidden="false" customHeight="false" outlineLevel="0" collapsed="false">
      <c r="A76" s="1" t="s">
        <v>160</v>
      </c>
      <c r="B76" s="18" t="n">
        <v>18</v>
      </c>
      <c r="C76" s="1" t="s">
        <v>84</v>
      </c>
      <c r="D76" s="8" t="s">
        <v>161</v>
      </c>
    </row>
    <row r="77" customFormat="false" ht="15" hidden="false" customHeight="false" outlineLevel="0" collapsed="false">
      <c r="A77" s="1" t="s">
        <v>162</v>
      </c>
      <c r="B77" s="18" t="n">
        <v>14</v>
      </c>
      <c r="C77" s="1" t="s">
        <v>84</v>
      </c>
      <c r="D77" s="8" t="s">
        <v>101</v>
      </c>
    </row>
    <row r="78" customFormat="false" ht="15" hidden="false" customHeight="false" outlineLevel="0" collapsed="false">
      <c r="A78" s="1" t="s">
        <v>163</v>
      </c>
      <c r="B78" s="18" t="n">
        <v>10</v>
      </c>
      <c r="C78" s="1" t="s">
        <v>84</v>
      </c>
      <c r="D78" s="8" t="s">
        <v>164</v>
      </c>
    </row>
    <row r="79" customFormat="false" ht="15" hidden="false" customHeight="false" outlineLevel="0" collapsed="false">
      <c r="A79" s="1" t="s">
        <v>165</v>
      </c>
      <c r="B79" s="23" t="n">
        <v>1.5</v>
      </c>
      <c r="C79" s="1" t="s">
        <v>75</v>
      </c>
      <c r="D79" s="8" t="s">
        <v>166</v>
      </c>
    </row>
    <row r="80" customFormat="false" ht="15" hidden="false" customHeight="false" outlineLevel="0" collapsed="false">
      <c r="A80" s="1" t="s">
        <v>167</v>
      </c>
      <c r="B80" s="18" t="n">
        <v>15</v>
      </c>
      <c r="C80" s="1" t="s">
        <v>84</v>
      </c>
      <c r="D80" s="8" t="s">
        <v>101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34"/>
    <col collapsed="false" customWidth="true" hidden="false" outlineLevel="0" max="12" min="2" style="1" width="12"/>
  </cols>
  <sheetData>
    <row r="1" customFormat="false" ht="15" hidden="false" customHeight="false" outlineLevel="0" collapsed="false">
      <c r="A1" s="2" t="s">
        <v>168</v>
      </c>
    </row>
    <row r="2" customFormat="false" ht="15" hidden="false" customHeight="false" outlineLevel="0" collapsed="false">
      <c r="A2" s="3" t="s">
        <v>1</v>
      </c>
    </row>
    <row r="4" customFormat="false" ht="23.85" hidden="false" customHeight="false" outlineLevel="0" collapsed="false">
      <c r="A4" s="4" t="s">
        <v>169</v>
      </c>
      <c r="B4" s="5" t="s">
        <v>170</v>
      </c>
      <c r="C4" s="5" t="s">
        <v>171</v>
      </c>
      <c r="D4" s="5" t="s">
        <v>172</v>
      </c>
      <c r="E4" s="5" t="s">
        <v>173</v>
      </c>
      <c r="F4" s="5" t="s">
        <v>174</v>
      </c>
      <c r="G4" s="5" t="s">
        <v>175</v>
      </c>
      <c r="H4" s="5" t="s">
        <v>176</v>
      </c>
      <c r="I4" s="5" t="s">
        <v>177</v>
      </c>
      <c r="J4" s="5" t="s">
        <v>178</v>
      </c>
      <c r="K4" s="5" t="s">
        <v>179</v>
      </c>
      <c r="L4" s="5" t="s">
        <v>180</v>
      </c>
    </row>
    <row r="5" customFormat="false" ht="15" hidden="false" customHeight="false" outlineLevel="0" collapsed="false">
      <c r="A5" s="1" t="s">
        <v>160</v>
      </c>
      <c r="B5" s="24" t="n">
        <f aca="false">Assumptions!$B$26</f>
        <v>12198</v>
      </c>
      <c r="C5" s="10" t="n">
        <f aca="false">Assumptions!$B$27</f>
        <v>0.13</v>
      </c>
      <c r="D5" s="24" t="n">
        <f aca="false">Assumptions!$B$28</f>
        <v>10331</v>
      </c>
      <c r="E5" s="24" t="n">
        <f aca="false">Assumptions!$B$29</f>
        <v>1715</v>
      </c>
      <c r="F5" s="24" t="n">
        <f aca="false">Assumptions!$B$30</f>
        <v>3600</v>
      </c>
      <c r="G5" s="25" t="n">
        <f aca="false">F5*Assumptions!$B$31</f>
        <v>540</v>
      </c>
      <c r="H5" s="25" t="n">
        <f aca="false">D5+F5</f>
        <v>13931</v>
      </c>
      <c r="I5" s="25" t="n">
        <f aca="false">E5+G5</f>
        <v>2255</v>
      </c>
      <c r="J5" s="26" t="n">
        <f aca="false">I5/H5</f>
        <v>0.161869212547556</v>
      </c>
      <c r="K5" s="25" t="n">
        <f aca="false">H5*(1+Assumptions!$B$32)</f>
        <v>16299.27</v>
      </c>
      <c r="L5" s="25" t="n">
        <f aca="false">K5*Assumptions!$B$33</f>
        <v>2933.8686</v>
      </c>
    </row>
    <row r="6" customFormat="false" ht="15" hidden="false" customHeight="false" outlineLevel="0" collapsed="false">
      <c r="A6" s="1" t="s">
        <v>158</v>
      </c>
      <c r="B6" s="24" t="n">
        <f aca="false">Assumptions!$B$35</f>
        <v>11305</v>
      </c>
      <c r="C6" s="10" t="n">
        <f aca="false">Assumptions!$B$36</f>
        <v>0.158</v>
      </c>
      <c r="D6" s="24" t="n">
        <f aca="false">Assumptions!$B$37</f>
        <v>9744</v>
      </c>
      <c r="E6" s="24" t="n">
        <f aca="false">Assumptions!$B$38</f>
        <v>1784</v>
      </c>
      <c r="F6" s="24" t="n">
        <f aca="false">Assumptions!$B$39</f>
        <v>4100</v>
      </c>
      <c r="G6" s="25" t="n">
        <f aca="false">F6*Assumptions!$B$40</f>
        <v>820</v>
      </c>
      <c r="H6" s="25" t="n">
        <f aca="false">D6+F6</f>
        <v>13844</v>
      </c>
      <c r="I6" s="25" t="n">
        <f aca="false">E6+G6</f>
        <v>2604</v>
      </c>
      <c r="J6" s="26" t="n">
        <f aca="false">I6/H6</f>
        <v>0.188095926032938</v>
      </c>
      <c r="K6" s="25" t="n">
        <f aca="false">H6*(1+Assumptions!$B$41)</f>
        <v>16335.92</v>
      </c>
      <c r="L6" s="25" t="n">
        <f aca="false">K6*Assumptions!$B$42</f>
        <v>3267.184</v>
      </c>
    </row>
    <row r="7" customFormat="false" ht="15" hidden="false" customHeight="false" outlineLevel="0" collapsed="false">
      <c r="A7" s="1" t="s">
        <v>162</v>
      </c>
      <c r="B7" s="24" t="n">
        <f aca="false">Assumptions!$B$44</f>
        <v>5723</v>
      </c>
      <c r="C7" s="10" t="n">
        <f aca="false">Assumptions!$B$45</f>
        <v>0.113</v>
      </c>
      <c r="D7" s="24" t="n">
        <f aca="false">Assumptions!$B$46</f>
        <v>4251</v>
      </c>
      <c r="E7" s="24" t="n">
        <f aca="false">Assumptions!$B$47</f>
        <v>543</v>
      </c>
      <c r="F7" s="24" t="n">
        <f aca="false">Assumptions!$B$48</f>
        <v>1700</v>
      </c>
      <c r="G7" s="25" t="n">
        <f aca="false">F7*Assumptions!$B$49</f>
        <v>221</v>
      </c>
      <c r="H7" s="25" t="n">
        <f aca="false">D7+F7</f>
        <v>5951</v>
      </c>
      <c r="I7" s="25" t="n">
        <f aca="false">E7+G7</f>
        <v>764</v>
      </c>
      <c r="J7" s="26" t="n">
        <f aca="false">I7/H7</f>
        <v>0.128381784574021</v>
      </c>
      <c r="K7" s="25" t="n">
        <f aca="false">H7*(1+Assumptions!$B$50)</f>
        <v>6308.06</v>
      </c>
      <c r="L7" s="25" t="n">
        <f aca="false">K7*Assumptions!$B$51</f>
        <v>820.0478</v>
      </c>
    </row>
    <row r="8" customFormat="false" ht="15" hidden="false" customHeight="false" outlineLevel="0" collapsed="false">
      <c r="A8" s="1" t="s">
        <v>163</v>
      </c>
      <c r="B8" s="24" t="n">
        <f aca="false">Assumptions!$B$53</f>
        <v>10375</v>
      </c>
      <c r="C8" s="10" t="n">
        <f aca="false">Assumptions!$B$54</f>
        <v>-0.131</v>
      </c>
      <c r="D8" s="24" t="n">
        <f aca="false">Assumptions!$B$55</f>
        <v>7624</v>
      </c>
      <c r="E8" s="24" t="n">
        <f aca="false">Assumptions!$B$56</f>
        <v>-15</v>
      </c>
      <c r="F8" s="24" t="n">
        <f aca="false">Assumptions!$B$57</f>
        <v>2700</v>
      </c>
      <c r="G8" s="25" t="n">
        <f aca="false">F8*Assumptions!$B$58</f>
        <v>0</v>
      </c>
      <c r="H8" s="25" t="n">
        <f aca="false">D8+F8</f>
        <v>10324</v>
      </c>
      <c r="I8" s="25" t="n">
        <f aca="false">E8+G8</f>
        <v>-15</v>
      </c>
      <c r="J8" s="26" t="n">
        <f aca="false">I8/H8</f>
        <v>-0.00145292522278187</v>
      </c>
      <c r="K8" s="25" t="n">
        <f aca="false">H8*(1+Assumptions!$B$59)</f>
        <v>10736.96</v>
      </c>
      <c r="L8" s="25" t="n">
        <f aca="false">K8*Assumptions!$B$60</f>
        <v>214.7392</v>
      </c>
    </row>
    <row r="9" customFormat="false" ht="15" hidden="false" customHeight="false" outlineLevel="0" collapsed="false">
      <c r="A9" s="1" t="s">
        <v>181</v>
      </c>
      <c r="E9" s="27" t="n">
        <f aca="false">Assumptions!$B$64</f>
        <v>-82</v>
      </c>
      <c r="H9" s="27" t="n">
        <f aca="false">Assumptions!$B$66</f>
        <v>-700</v>
      </c>
      <c r="I9" s="27" t="n">
        <f aca="false">Assumptions!$B$65</f>
        <v>-300</v>
      </c>
      <c r="K9" s="27" t="n">
        <f aca="false">Assumptions!$B$68</f>
        <v>-700</v>
      </c>
      <c r="L9" s="27" t="n">
        <f aca="false">Assumptions!$B$67</f>
        <v>-300</v>
      </c>
    </row>
    <row r="10" customFormat="false" ht="15" hidden="false" customHeight="false" outlineLevel="0" collapsed="false">
      <c r="A10" s="6" t="s">
        <v>182</v>
      </c>
      <c r="H10" s="28" t="n">
        <f aca="false">SUM(H5:H9)</f>
        <v>43350</v>
      </c>
      <c r="I10" s="28" t="n">
        <f aca="false">SUM(I5:I9)</f>
        <v>5308</v>
      </c>
      <c r="J10" s="29" t="n">
        <f aca="false">I10/H10</f>
        <v>0.122445213379469</v>
      </c>
      <c r="K10" s="28" t="n">
        <f aca="false">SUM(K5:K9)</f>
        <v>48980.21</v>
      </c>
      <c r="L10" s="28" t="n">
        <f aca="false">SUM(L5:L9)</f>
        <v>6935.8396</v>
      </c>
    </row>
    <row r="11" customFormat="false" ht="15" hidden="false" customHeight="false" outlineLevel="0" collapsed="false">
      <c r="A11" s="1" t="s">
        <v>183</v>
      </c>
      <c r="L11" s="29" t="n">
        <f aca="false">L10/K10</f>
        <v>0.141604937994345</v>
      </c>
    </row>
    <row r="13" customFormat="false" ht="15" hidden="false" customHeight="false" outlineLevel="0" collapsed="false">
      <c r="A13" s="13" t="s">
        <v>184</v>
      </c>
    </row>
    <row r="14" customFormat="false" ht="15" hidden="false" customHeight="false" outlineLevel="0" collapsed="false">
      <c r="A14" s="1" t="s">
        <v>185</v>
      </c>
      <c r="B14" s="30" t="n">
        <f aca="false">L10</f>
        <v>6935.8396</v>
      </c>
    </row>
    <row r="15" customFormat="false" ht="15" hidden="false" customHeight="false" outlineLevel="0" collapsed="false">
      <c r="A15" s="1" t="s">
        <v>186</v>
      </c>
      <c r="B15" s="30" t="n">
        <f aca="false">Assumptions!$B$69</f>
        <v>-200</v>
      </c>
    </row>
    <row r="16" customFormat="false" ht="15" hidden="false" customHeight="false" outlineLevel="0" collapsed="false">
      <c r="A16" s="1" t="s">
        <v>187</v>
      </c>
      <c r="B16" s="30" t="n">
        <f aca="false">Assumptions!$B$70</f>
        <v>-200</v>
      </c>
    </row>
    <row r="17" customFormat="false" ht="15" hidden="false" customHeight="false" outlineLevel="0" collapsed="false">
      <c r="A17" s="1" t="s">
        <v>188</v>
      </c>
      <c r="B17" s="30" t="n">
        <f aca="false">Assumptions!$B$71</f>
        <v>200</v>
      </c>
    </row>
    <row r="18" customFormat="false" ht="15" hidden="false" customHeight="false" outlineLevel="0" collapsed="false">
      <c r="A18" s="1" t="s">
        <v>189</v>
      </c>
      <c r="B18" s="30" t="n">
        <f aca="false">SUM(B14:B17)</f>
        <v>6735.8396</v>
      </c>
    </row>
    <row r="19" customFormat="false" ht="15" hidden="false" customHeight="false" outlineLevel="0" collapsed="false">
      <c r="A19" s="1" t="s">
        <v>190</v>
      </c>
      <c r="B19" s="30" t="n">
        <f aca="false">-B18*Assumptions!$B$72</f>
        <v>-1481.884712</v>
      </c>
    </row>
    <row r="20" customFormat="false" ht="15" hidden="false" customHeight="false" outlineLevel="0" collapsed="false">
      <c r="A20" s="1" t="s">
        <v>191</v>
      </c>
      <c r="B20" s="30" t="n">
        <f aca="false">-Assumptions!$B$73</f>
        <v>-300</v>
      </c>
    </row>
    <row r="21" customFormat="false" ht="15" hidden="false" customHeight="false" outlineLevel="0" collapsed="false">
      <c r="A21" s="1" t="s">
        <v>192</v>
      </c>
      <c r="B21" s="30" t="n">
        <f aca="false">SUM(B18:B20)</f>
        <v>4953.954888</v>
      </c>
    </row>
    <row r="22" customFormat="false" ht="15" hidden="false" customHeight="false" outlineLevel="0" collapsed="false">
      <c r="A22" s="1" t="s">
        <v>193</v>
      </c>
      <c r="B22" s="31" t="n">
        <f aca="false">Valuation!D20</f>
        <v>836.389115</v>
      </c>
    </row>
    <row r="23" customFormat="false" ht="15" hidden="false" customHeight="false" outlineLevel="0" collapsed="false">
      <c r="A23" s="6" t="s">
        <v>194</v>
      </c>
      <c r="B23" s="32" t="n">
        <f aca="false">B21/B22</f>
        <v>5.92302649467168</v>
      </c>
    </row>
    <row r="24" customFormat="false" ht="15" hidden="false" customHeight="false" outlineLevel="0" collapsed="false">
      <c r="A24" s="1" t="s">
        <v>195</v>
      </c>
      <c r="B24" s="33" t="n">
        <f aca="false">Assumptions!$B$9</f>
        <v>6.25</v>
      </c>
    </row>
    <row r="25" customFormat="false" ht="15" hidden="false" customHeight="false" outlineLevel="0" collapsed="false">
      <c r="A25" s="1" t="s">
        <v>196</v>
      </c>
      <c r="B25" s="29" t="n">
        <f aca="false">B23/B24-1</f>
        <v>-0.052315760852531</v>
      </c>
    </row>
    <row r="27" customFormat="false" ht="15" hidden="false" customHeight="false" outlineLevel="0" collapsed="false">
      <c r="A27" s="14" t="s">
        <v>197</v>
      </c>
    </row>
    <row r="28" customFormat="false" ht="15" hidden="false" customHeight="false" outlineLevel="0" collapsed="false">
      <c r="A28" s="14" t="s">
        <v>198</v>
      </c>
    </row>
    <row r="29" customFormat="false" ht="15" hidden="false" customHeight="false" outlineLevel="0" collapsed="false">
      <c r="A29" s="14" t="s">
        <v>199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44"/>
    <col collapsed="false" customWidth="true" hidden="false" outlineLevel="0" max="8" min="2" style="1" width="12"/>
  </cols>
  <sheetData>
    <row r="1" customFormat="false" ht="15" hidden="false" customHeight="false" outlineLevel="0" collapsed="false">
      <c r="A1" s="2" t="s">
        <v>200</v>
      </c>
    </row>
    <row r="2" customFormat="false" ht="15" hidden="false" customHeight="false" outlineLevel="0" collapsed="false">
      <c r="A2" s="3" t="s">
        <v>1</v>
      </c>
    </row>
    <row r="4" customFormat="false" ht="15" hidden="false" customHeight="false" outlineLevel="0" collapsed="false">
      <c r="A4" s="4" t="s">
        <v>201</v>
      </c>
      <c r="B4" s="5" t="s">
        <v>202</v>
      </c>
      <c r="C4" s="5" t="s">
        <v>203</v>
      </c>
      <c r="D4" s="5" t="s">
        <v>204</v>
      </c>
      <c r="E4" s="5" t="s">
        <v>205</v>
      </c>
      <c r="F4" s="5" t="s">
        <v>206</v>
      </c>
      <c r="G4" s="5" t="s">
        <v>207</v>
      </c>
      <c r="H4" s="5" t="s">
        <v>208</v>
      </c>
    </row>
    <row r="5" customFormat="false" ht="15" hidden="false" customHeight="false" outlineLevel="0" collapsed="false">
      <c r="A5" s="1" t="s">
        <v>209</v>
      </c>
      <c r="B5" s="19" t="n">
        <v>5117</v>
      </c>
      <c r="C5" s="19" t="n">
        <v>5209</v>
      </c>
      <c r="D5" s="19" t="n">
        <v>4218</v>
      </c>
      <c r="E5" s="19" t="n">
        <v>6880</v>
      </c>
      <c r="F5" s="19" t="n">
        <v>5964</v>
      </c>
      <c r="G5" s="19" t="n">
        <v>6996</v>
      </c>
      <c r="H5" s="19" t="n">
        <v>5367</v>
      </c>
    </row>
    <row r="6" customFormat="false" ht="15" hidden="false" customHeight="false" outlineLevel="0" collapsed="false">
      <c r="A6" s="1" t="s">
        <v>210</v>
      </c>
      <c r="B6" s="19" t="n">
        <v>2480</v>
      </c>
      <c r="C6" s="19" t="n">
        <v>2861</v>
      </c>
      <c r="D6" s="19" t="n">
        <v>2819</v>
      </c>
      <c r="E6" s="19" t="n">
        <v>3145</v>
      </c>
      <c r="F6" s="19" t="n">
        <v>3054</v>
      </c>
      <c r="G6" s="19" t="n">
        <v>3067</v>
      </c>
      <c r="H6" s="19" t="n">
        <v>3624</v>
      </c>
    </row>
    <row r="7" customFormat="false" ht="15" hidden="false" customHeight="false" outlineLevel="0" collapsed="false">
      <c r="A7" s="1" t="s">
        <v>211</v>
      </c>
      <c r="B7" s="34" t="n">
        <f aca="false">B5/B6</f>
        <v>2.0633064516129</v>
      </c>
      <c r="C7" s="34" t="n">
        <f aca="false">C5/C6</f>
        <v>1.82069206571129</v>
      </c>
      <c r="D7" s="34" t="n">
        <f aca="false">D5/D6</f>
        <v>1.49627527492018</v>
      </c>
      <c r="E7" s="34" t="n">
        <f aca="false">E5/E6</f>
        <v>2.18759936406995</v>
      </c>
      <c r="F7" s="34" t="n">
        <f aca="false">F5/F6</f>
        <v>1.95284872298625</v>
      </c>
      <c r="G7" s="34" t="n">
        <f aca="false">G5/G6</f>
        <v>2.28105640691229</v>
      </c>
      <c r="H7" s="34" t="n">
        <f aca="false">H5/H6</f>
        <v>1.48096026490066</v>
      </c>
    </row>
    <row r="9" customFormat="false" ht="15" hidden="false" customHeight="false" outlineLevel="0" collapsed="false">
      <c r="A9" s="1" t="s">
        <v>212</v>
      </c>
      <c r="B9" s="30" t="n">
        <f aca="false">SUM(F5:H5)</f>
        <v>18327</v>
      </c>
    </row>
    <row r="10" customFormat="false" ht="15" hidden="false" customHeight="false" outlineLevel="0" collapsed="false">
      <c r="A10" s="1" t="s">
        <v>213</v>
      </c>
      <c r="B10" s="30" t="n">
        <f aca="false">SUM(F6:H6)</f>
        <v>9745</v>
      </c>
    </row>
    <row r="11" customFormat="false" ht="15" hidden="false" customHeight="false" outlineLevel="0" collapsed="false">
      <c r="A11" s="1" t="s">
        <v>214</v>
      </c>
      <c r="B11" s="34" t="n">
        <f aca="false">B9/B10</f>
        <v>1.88065674704977</v>
      </c>
    </row>
    <row r="12" customFormat="false" ht="15" hidden="false" customHeight="false" outlineLevel="0" collapsed="false">
      <c r="A12" s="1" t="s">
        <v>215</v>
      </c>
      <c r="B12" s="30" t="n">
        <f aca="false">SUM(E6:H6)</f>
        <v>12890</v>
      </c>
    </row>
    <row r="13" customFormat="false" ht="15" hidden="false" customHeight="false" outlineLevel="0" collapsed="false">
      <c r="A13" s="1" t="s">
        <v>216</v>
      </c>
      <c r="B13" s="27" t="n">
        <f aca="false">Segments!H6</f>
        <v>13844</v>
      </c>
    </row>
    <row r="14" customFormat="false" ht="15" hidden="false" customHeight="false" outlineLevel="0" collapsed="false">
      <c r="A14" s="1" t="s">
        <v>217</v>
      </c>
      <c r="B14" s="30" t="n">
        <f aca="false">B9-B13</f>
        <v>4483</v>
      </c>
    </row>
    <row r="16" customFormat="false" ht="23.85" hidden="false" customHeight="false" outlineLevel="0" collapsed="false">
      <c r="A16" s="4" t="s">
        <v>218</v>
      </c>
      <c r="B16" s="5" t="s">
        <v>209</v>
      </c>
      <c r="C16" s="5" t="s">
        <v>210</v>
      </c>
      <c r="D16" s="5" t="s">
        <v>211</v>
      </c>
    </row>
    <row r="17" customFormat="false" ht="15" hidden="false" customHeight="false" outlineLevel="0" collapsed="false">
      <c r="A17" s="1" t="s">
        <v>219</v>
      </c>
      <c r="B17" s="19" t="n">
        <v>20901</v>
      </c>
      <c r="C17" s="19" t="n">
        <v>9280</v>
      </c>
      <c r="D17" s="34" t="n">
        <f aca="false">B17/C17</f>
        <v>2.25226293103448</v>
      </c>
    </row>
    <row r="18" customFormat="false" ht="15" hidden="false" customHeight="false" outlineLevel="0" collapsed="false">
      <c r="A18" s="1" t="s">
        <v>220</v>
      </c>
      <c r="B18" s="19" t="n">
        <v>21423</v>
      </c>
      <c r="C18" s="19" t="n">
        <v>11305</v>
      </c>
      <c r="D18" s="34" t="n">
        <f aca="false">B18/C18</f>
        <v>1.89500221141088</v>
      </c>
    </row>
    <row r="20" customFormat="false" ht="15" hidden="false" customHeight="false" outlineLevel="0" collapsed="false">
      <c r="A20" s="4" t="s">
        <v>221</v>
      </c>
      <c r="B20" s="5" t="s">
        <v>222</v>
      </c>
      <c r="C20" s="5" t="s">
        <v>223</v>
      </c>
      <c r="D20" s="5" t="s">
        <v>224</v>
      </c>
      <c r="E20" s="5" t="s">
        <v>225</v>
      </c>
      <c r="F20" s="5" t="s">
        <v>226</v>
      </c>
    </row>
    <row r="21" customFormat="false" ht="15" hidden="false" customHeight="false" outlineLevel="0" collapsed="false">
      <c r="A21" s="1" t="s">
        <v>227</v>
      </c>
      <c r="B21" s="35" t="n">
        <v>33</v>
      </c>
      <c r="C21" s="35" t="n">
        <v>42</v>
      </c>
      <c r="D21" s="35" t="n">
        <v>45</v>
      </c>
      <c r="E21" s="35" t="n">
        <v>49</v>
      </c>
      <c r="F21" s="35" t="n">
        <v>51</v>
      </c>
    </row>
    <row r="22" customFormat="false" ht="15" hidden="false" customHeight="false" outlineLevel="0" collapsed="false">
      <c r="A22" s="1" t="s">
        <v>228</v>
      </c>
      <c r="C22" s="36" t="n">
        <f aca="false">C21-B21</f>
        <v>9</v>
      </c>
      <c r="D22" s="36" t="n">
        <f aca="false">D21-C21</f>
        <v>3</v>
      </c>
      <c r="E22" s="36" t="n">
        <f aca="false">E21-D21</f>
        <v>4</v>
      </c>
      <c r="F22" s="36" t="n">
        <f aca="false">F21-E21</f>
        <v>2</v>
      </c>
    </row>
    <row r="23" customFormat="false" ht="15" hidden="false" customHeight="false" outlineLevel="0" collapsed="false">
      <c r="A23" s="1" t="s">
        <v>229</v>
      </c>
      <c r="B23" s="29" t="n">
        <f aca="false">F21/B21-1</f>
        <v>0.545454545454545</v>
      </c>
    </row>
    <row r="24" customFormat="false" ht="15" hidden="false" customHeight="false" outlineLevel="0" collapsed="false">
      <c r="A24" s="1" t="s">
        <v>230</v>
      </c>
      <c r="B24" s="34" t="n">
        <f aca="false">F21*1000/B12</f>
        <v>3.95655546935609</v>
      </c>
    </row>
    <row r="26" customFormat="false" ht="15" hidden="false" customHeight="false" outlineLevel="0" collapsed="false">
      <c r="A26" s="4" t="s">
        <v>231</v>
      </c>
      <c r="B26" s="5" t="s">
        <v>232</v>
      </c>
      <c r="C26" s="5" t="s">
        <v>233</v>
      </c>
      <c r="D26" s="5" t="s">
        <v>234</v>
      </c>
      <c r="E26" s="5" t="s">
        <v>235</v>
      </c>
    </row>
    <row r="27" customFormat="false" ht="15" hidden="false" customHeight="false" outlineLevel="0" collapsed="false">
      <c r="A27" s="1" t="s">
        <v>236</v>
      </c>
      <c r="B27" s="17" t="n">
        <v>6.3</v>
      </c>
      <c r="C27" s="17" t="n">
        <v>7.2</v>
      </c>
      <c r="D27" s="17" t="n">
        <v>9.28</v>
      </c>
      <c r="E27" s="17" t="n">
        <v>11.305</v>
      </c>
    </row>
    <row r="28" customFormat="false" ht="15" hidden="false" customHeight="false" outlineLevel="0" collapsed="false">
      <c r="A28" s="1" t="s">
        <v>237</v>
      </c>
      <c r="B28" s="20" t="n">
        <v>0.036</v>
      </c>
      <c r="C28" s="20" t="n">
        <v>0.076</v>
      </c>
      <c r="D28" s="20" t="n">
        <v>0.105</v>
      </c>
      <c r="E28" s="20" t="n">
        <v>0.158</v>
      </c>
    </row>
    <row r="30" customFormat="false" ht="15" hidden="false" customHeight="false" outlineLevel="0" collapsed="false">
      <c r="A30" s="14" t="s">
        <v>238</v>
      </c>
    </row>
    <row r="31" customFormat="false" ht="15" hidden="false" customHeight="false" outlineLevel="0" collapsed="false">
      <c r="A31" s="14" t="s">
        <v>239</v>
      </c>
    </row>
    <row r="32" customFormat="false" ht="15" hidden="false" customHeight="false" outlineLevel="0" collapsed="false">
      <c r="A32" s="14" t="s">
        <v>240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60"/>
    <col collapsed="false" customWidth="true" hidden="false" outlineLevel="0" max="2" min="2" style="1" width="14"/>
    <col collapsed="false" customWidth="true" hidden="false" outlineLevel="0" max="3" min="3" style="1" width="10"/>
    <col collapsed="false" customWidth="true" hidden="false" outlineLevel="0" max="4" min="4" style="1" width="16"/>
    <col collapsed="false" customWidth="true" hidden="false" outlineLevel="0" max="5" min="5" style="1" width="12"/>
    <col collapsed="false" customWidth="true" hidden="false" outlineLevel="0" max="6" min="6" style="1" width="60"/>
  </cols>
  <sheetData>
    <row r="1" customFormat="false" ht="15" hidden="false" customHeight="false" outlineLevel="0" collapsed="false">
      <c r="A1" s="2" t="s">
        <v>241</v>
      </c>
    </row>
    <row r="2" customFormat="false" ht="15" hidden="false" customHeight="false" outlineLevel="0" collapsed="false">
      <c r="A2" s="3" t="s">
        <v>1</v>
      </c>
    </row>
    <row r="4" customFormat="false" ht="23.85" hidden="false" customHeight="false" outlineLevel="0" collapsed="false">
      <c r="A4" s="4" t="s">
        <v>242</v>
      </c>
      <c r="B4" s="5" t="s">
        <v>243</v>
      </c>
      <c r="C4" s="5" t="s">
        <v>244</v>
      </c>
      <c r="D4" s="5" t="s">
        <v>245</v>
      </c>
      <c r="E4" s="5" t="s">
        <v>246</v>
      </c>
      <c r="F4" s="5" t="s">
        <v>247</v>
      </c>
    </row>
    <row r="5" customFormat="false" ht="15" hidden="false" customHeight="false" outlineLevel="0" collapsed="false">
      <c r="A5" s="1" t="s">
        <v>158</v>
      </c>
      <c r="B5" s="37" t="n">
        <f aca="false">Segments!L6/1000</f>
        <v>3.267184</v>
      </c>
      <c r="C5" s="38" t="n">
        <f aca="false">Assumptions!$B$75</f>
        <v>22</v>
      </c>
      <c r="D5" s="39" t="n">
        <f aca="false">B5*C5</f>
        <v>71.878048</v>
      </c>
      <c r="E5" s="40" t="n">
        <f aca="false">D5/$D$19</f>
        <v>0.528032282014156</v>
      </c>
    </row>
    <row r="6" customFormat="false" ht="15" hidden="false" customHeight="false" outlineLevel="0" collapsed="false">
      <c r="A6" s="1" t="s">
        <v>160</v>
      </c>
      <c r="B6" s="37" t="n">
        <f aca="false">Segments!L5/1000</f>
        <v>2.9338686</v>
      </c>
      <c r="C6" s="38" t="n">
        <f aca="false">Assumptions!$B$76</f>
        <v>18</v>
      </c>
      <c r="D6" s="39" t="n">
        <f aca="false">B6*C6</f>
        <v>52.8096348</v>
      </c>
      <c r="E6" s="40" t="n">
        <f aca="false">D6/$D$19</f>
        <v>0.387951436518952</v>
      </c>
    </row>
    <row r="7" customFormat="false" ht="15" hidden="false" customHeight="false" outlineLevel="0" collapsed="false">
      <c r="A7" s="1" t="s">
        <v>162</v>
      </c>
      <c r="B7" s="37" t="n">
        <f aca="false">Segments!L7/1000</f>
        <v>0.8200478</v>
      </c>
      <c r="C7" s="38" t="n">
        <f aca="false">Assumptions!$B$77</f>
        <v>14</v>
      </c>
      <c r="D7" s="39" t="n">
        <f aca="false">B7*C7</f>
        <v>11.4806692</v>
      </c>
      <c r="E7" s="40" t="n">
        <f aca="false">D7/$D$19</f>
        <v>0.0843395741176171</v>
      </c>
    </row>
    <row r="8" customFormat="false" ht="15" hidden="false" customHeight="false" outlineLevel="0" collapsed="false">
      <c r="A8" s="1" t="s">
        <v>163</v>
      </c>
      <c r="B8" s="37" t="n">
        <f aca="false">Segments!L8/1000</f>
        <v>0.2147392</v>
      </c>
      <c r="C8" s="38" t="n">
        <f aca="false">Assumptions!$B$78</f>
        <v>10</v>
      </c>
      <c r="D8" s="39" t="n">
        <f aca="false">B8*C8-Assumptions!$B$79</f>
        <v>0.647392</v>
      </c>
      <c r="E8" s="40" t="n">
        <f aca="false">D8/$D$19</f>
        <v>0.00475588701459601</v>
      </c>
      <c r="F8" s="1" t="s">
        <v>248</v>
      </c>
    </row>
    <row r="9" customFormat="false" ht="15" hidden="false" customHeight="false" outlineLevel="0" collapsed="false">
      <c r="A9" s="1" t="s">
        <v>249</v>
      </c>
      <c r="B9" s="37" t="n">
        <f aca="false">Segments!L9/1000</f>
        <v>-0.3</v>
      </c>
      <c r="C9" s="38" t="n">
        <f aca="false">Assumptions!$B$80</f>
        <v>15</v>
      </c>
      <c r="D9" s="39" t="n">
        <f aca="false">B9*C9</f>
        <v>-4.5</v>
      </c>
      <c r="E9" s="40" t="n">
        <f aca="false">D9/$D$19</f>
        <v>-0.0330580105495311</v>
      </c>
    </row>
    <row r="12" customFormat="false" ht="15" hidden="false" customHeight="false" outlineLevel="0" collapsed="false">
      <c r="A12" s="6" t="s">
        <v>250</v>
      </c>
      <c r="D12" s="39" t="n">
        <f aca="false">SUM(D5:D9)</f>
        <v>132.315744</v>
      </c>
      <c r="F12" s="8"/>
    </row>
    <row r="13" customFormat="false" ht="15" hidden="false" customHeight="false" outlineLevel="0" collapsed="false">
      <c r="A13" s="1" t="s">
        <v>251</v>
      </c>
      <c r="D13" s="37" t="n">
        <f aca="false">Assumptions!$B$19</f>
        <v>7.719</v>
      </c>
      <c r="F13" s="8" t="s">
        <v>252</v>
      </c>
    </row>
    <row r="14" customFormat="false" ht="15" hidden="false" customHeight="false" outlineLevel="0" collapsed="false">
      <c r="A14" s="1" t="s">
        <v>253</v>
      </c>
      <c r="D14" s="39" t="n">
        <f aca="false">-Assumptions!$B$20</f>
        <v>-1.2634</v>
      </c>
      <c r="F14" s="8" t="s">
        <v>254</v>
      </c>
    </row>
    <row r="15" customFormat="false" ht="15" hidden="false" customHeight="false" outlineLevel="0" collapsed="false">
      <c r="A15" s="1" t="s">
        <v>255</v>
      </c>
      <c r="D15" s="37" t="n">
        <f aca="false">Assumptions!$B$21</f>
        <v>1.853</v>
      </c>
      <c r="F15" s="8"/>
    </row>
    <row r="16" customFormat="false" ht="15" hidden="false" customHeight="false" outlineLevel="0" collapsed="false">
      <c r="A16" s="1" t="s">
        <v>256</v>
      </c>
      <c r="D16" s="39" t="n">
        <f aca="false">-Assumptions!$B$22*Assumptions!$B$23</f>
        <v>-4.5</v>
      </c>
      <c r="F16" s="8"/>
    </row>
    <row r="18" customFormat="false" ht="15" hidden="false" customHeight="false" outlineLevel="0" collapsed="false">
      <c r="A18" s="1" t="s">
        <v>257</v>
      </c>
      <c r="D18" s="39" t="n">
        <f aca="false">SUM(D13:D16)</f>
        <v>3.8086</v>
      </c>
      <c r="E18" s="40" t="n">
        <f aca="false">D18/$D$19</f>
        <v>0.0279788308842098</v>
      </c>
      <c r="F18" s="8"/>
    </row>
    <row r="19" customFormat="false" ht="15" hidden="false" customHeight="false" outlineLevel="0" collapsed="false">
      <c r="A19" s="6" t="s">
        <v>258</v>
      </c>
      <c r="D19" s="39" t="n">
        <f aca="false">D12+D18</f>
        <v>136.124344</v>
      </c>
      <c r="F19" s="8"/>
    </row>
    <row r="20" customFormat="false" ht="23.85" hidden="false" customHeight="false" outlineLevel="0" collapsed="false">
      <c r="A20" s="1" t="s">
        <v>193</v>
      </c>
      <c r="D20" s="41" t="n">
        <f aca="false">Assumptions!$B$12-(Assumptions!$B$13+Assumptions!$B$14+Assumptions!$B$15+Assumptions!$B$16-Assumptions!$B$17)</f>
        <v>836.389115</v>
      </c>
      <c r="F20" s="8" t="s">
        <v>259</v>
      </c>
    </row>
    <row r="21" customFormat="false" ht="15" hidden="false" customHeight="false" outlineLevel="0" collapsed="false">
      <c r="A21" s="6" t="s">
        <v>260</v>
      </c>
      <c r="D21" s="42" t="n">
        <f aca="false">D19/D20*1000</f>
        <v>162.752409803899</v>
      </c>
      <c r="F21" s="8"/>
    </row>
    <row r="22" customFormat="false" ht="15" hidden="false" customHeight="false" outlineLevel="0" collapsed="false">
      <c r="A22" s="1" t="s">
        <v>9</v>
      </c>
      <c r="D22" s="43" t="n">
        <f aca="false">Assumptions!$B$7</f>
        <v>128.58</v>
      </c>
      <c r="F22" s="8" t="s">
        <v>10</v>
      </c>
    </row>
    <row r="23" customFormat="false" ht="23.85" hidden="false" customHeight="false" outlineLevel="0" collapsed="false">
      <c r="A23" s="1" t="s">
        <v>11</v>
      </c>
      <c r="D23" s="29" t="n">
        <f aca="false">D21/D22-1</f>
        <v>0.265767691739761</v>
      </c>
      <c r="F23" s="8" t="s">
        <v>261</v>
      </c>
    </row>
    <row r="24" customFormat="false" ht="23.85" hidden="false" customHeight="false" outlineLevel="0" collapsed="false">
      <c r="A24" s="6" t="s">
        <v>262</v>
      </c>
      <c r="D24" s="44" t="str">
        <f aca="false">IF(D23&gt;=0.15,"LONG",IF(D23&lt;=-0.25,"SHORT","NO CALL"))</f>
        <v>LONG</v>
      </c>
      <c r="F24" s="8" t="s">
        <v>263</v>
      </c>
    </row>
    <row r="26" customFormat="false" ht="15" hidden="false" customHeight="false" outlineLevel="0" collapsed="false">
      <c r="A26" s="1" t="s">
        <v>264</v>
      </c>
      <c r="D26" s="39" t="n">
        <f aca="false">D20*D22/1000</f>
        <v>107.5429124067</v>
      </c>
      <c r="F26" s="8"/>
    </row>
    <row r="27" customFormat="false" ht="15" hidden="false" customHeight="false" outlineLevel="0" collapsed="false">
      <c r="A27" s="1" t="s">
        <v>265</v>
      </c>
      <c r="D27" s="39" t="n">
        <f aca="false">D26-D18</f>
        <v>103.7343124067</v>
      </c>
      <c r="F27" s="8" t="s">
        <v>266</v>
      </c>
    </row>
    <row r="28" customFormat="false" ht="15" hidden="false" customHeight="false" outlineLevel="0" collapsed="false">
      <c r="A28" s="1" t="s">
        <v>267</v>
      </c>
      <c r="D28" s="45" t="n">
        <f aca="false">D27/(Segments!I10/1000)</f>
        <v>19.5430128874717</v>
      </c>
      <c r="F28" s="8"/>
    </row>
    <row r="29" customFormat="false" ht="15" hidden="false" customHeight="false" outlineLevel="0" collapsed="false">
      <c r="A29" s="1" t="s">
        <v>268</v>
      </c>
      <c r="D29" s="45" t="n">
        <f aca="false">D27/(Segments!L10/1000)</f>
        <v>14.9562732688772</v>
      </c>
      <c r="F29" s="8"/>
    </row>
    <row r="30" customFormat="false" ht="15" hidden="false" customHeight="false" outlineLevel="0" collapsed="false">
      <c r="A30" s="1" t="s">
        <v>269</v>
      </c>
      <c r="D30" s="45" t="n">
        <f aca="false">D22/Assumptions!$B$9</f>
        <v>20.5728</v>
      </c>
      <c r="F30" s="8" t="s">
        <v>270</v>
      </c>
    </row>
    <row r="31" customFormat="false" ht="15" hidden="false" customHeight="false" outlineLevel="0" collapsed="false">
      <c r="A31" s="1" t="s">
        <v>271</v>
      </c>
      <c r="D31" s="45" t="n">
        <f aca="false">D22/Segments!B23</f>
        <v>21.7084965119892</v>
      </c>
      <c r="F31" s="8"/>
    </row>
    <row r="32" customFormat="false" ht="15" hidden="false" customHeight="false" outlineLevel="0" collapsed="false">
      <c r="A32" s="1" t="s">
        <v>272</v>
      </c>
      <c r="D32" s="39" t="n">
        <f aca="false">D27-SUM(D6:D9)</f>
        <v>43.2966164067</v>
      </c>
      <c r="F32" s="8" t="s">
        <v>273</v>
      </c>
    </row>
    <row r="33" customFormat="false" ht="15" hidden="false" customHeight="false" outlineLevel="0" collapsed="false">
      <c r="A33" s="1" t="s">
        <v>274</v>
      </c>
      <c r="D33" s="45" t="n">
        <f aca="false">D32/B5</f>
        <v>13.2519675680035</v>
      </c>
      <c r="F33" s="8"/>
    </row>
    <row r="34" customFormat="false" ht="15" hidden="false" customHeight="false" outlineLevel="0" collapsed="false">
      <c r="A34" s="1" t="s">
        <v>275</v>
      </c>
      <c r="D34" s="45" t="n">
        <f aca="false">(D27-D5-SUM(D7:D9))/B6</f>
        <v>8.2581078125653</v>
      </c>
      <c r="F34" s="8"/>
    </row>
    <row r="35" customFormat="false" ht="15" hidden="false" customHeight="false" outlineLevel="0" collapsed="false">
      <c r="A35" s="1" t="s">
        <v>276</v>
      </c>
      <c r="D35" s="33" t="n">
        <f aca="false">D21/1.15</f>
        <v>141.523834612086</v>
      </c>
      <c r="F35" s="8" t="s">
        <v>277</v>
      </c>
    </row>
    <row r="36" customFormat="false" ht="15" hidden="false" customHeight="false" outlineLevel="0" collapsed="false">
      <c r="A36" s="1" t="s">
        <v>278</v>
      </c>
      <c r="D36" s="33" t="n">
        <f aca="false">D21/0.75</f>
        <v>217.003213071865</v>
      </c>
      <c r="F36" s="8" t="s">
        <v>279</v>
      </c>
    </row>
    <row r="37" customFormat="false" ht="15" hidden="false" customHeight="false" outlineLevel="0" collapsed="false">
      <c r="A37" s="1" t="s">
        <v>14</v>
      </c>
      <c r="D37" s="29" t="n">
        <f aca="false">D5/D19</f>
        <v>0.528032282014156</v>
      </c>
      <c r="F37" s="8"/>
    </row>
    <row r="38" customFormat="false" ht="15" hidden="false" customHeight="false" outlineLevel="0" collapsed="false">
      <c r="A38" s="1" t="s">
        <v>280</v>
      </c>
      <c r="D38" s="29" t="n">
        <f aca="false">D6/D19</f>
        <v>0.387951436518952</v>
      </c>
      <c r="F38" s="8"/>
    </row>
    <row r="39" customFormat="false" ht="15" hidden="false" customHeight="false" outlineLevel="0" collapsed="false">
      <c r="A39" s="1" t="s">
        <v>281</v>
      </c>
      <c r="D39" s="29" t="n">
        <f aca="false">D22/Assumptions!$B$8-1</f>
        <v>-0.314678605692357</v>
      </c>
      <c r="F39" s="8" t="s">
        <v>282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2"/>
    <col collapsed="false" customWidth="true" hidden="false" outlineLevel="0" max="3" min="2" style="1" width="11"/>
    <col collapsed="false" customWidth="true" hidden="false" outlineLevel="0" max="4" min="4" style="1" width="10"/>
    <col collapsed="false" customWidth="true" hidden="false" outlineLevel="0" max="6" min="5" style="1" width="11"/>
    <col collapsed="false" customWidth="true" hidden="false" outlineLevel="0" max="7" min="7" style="1" width="10"/>
    <col collapsed="false" customWidth="true" hidden="false" outlineLevel="0" max="8" min="8" style="1" width="9"/>
    <col collapsed="false" customWidth="true" hidden="false" outlineLevel="0" max="9" min="9" style="1" width="11"/>
    <col collapsed="false" customWidth="true" hidden="false" outlineLevel="0" max="10" min="10" style="1" width="10"/>
    <col collapsed="false" customWidth="true" hidden="false" outlineLevel="0" max="11" min="11" style="1" width="11"/>
    <col collapsed="false" customWidth="true" hidden="false" outlineLevel="0" max="12" min="12" style="1" width="13"/>
    <col collapsed="false" customWidth="true" hidden="false" outlineLevel="0" max="13" min="13" style="1" width="12"/>
    <col collapsed="false" customWidth="true" hidden="false" outlineLevel="0" max="14" min="14" style="1" width="11"/>
  </cols>
  <sheetData>
    <row r="1" customFormat="false" ht="15" hidden="false" customHeight="false" outlineLevel="0" collapsed="false">
      <c r="A1" s="2" t="s">
        <v>283</v>
      </c>
    </row>
    <row r="2" customFormat="false" ht="15" hidden="false" customHeight="false" outlineLevel="0" collapsed="false">
      <c r="A2" s="3" t="s">
        <v>1</v>
      </c>
    </row>
    <row r="4" customFormat="false" ht="23.85" hidden="false" customHeight="false" outlineLevel="0" collapsed="false">
      <c r="A4" s="4" t="s">
        <v>284</v>
      </c>
      <c r="B4" s="5" t="s">
        <v>285</v>
      </c>
      <c r="C4" s="5" t="s">
        <v>286</v>
      </c>
      <c r="D4" s="5" t="s">
        <v>287</v>
      </c>
      <c r="E4" s="5" t="s">
        <v>288</v>
      </c>
      <c r="F4" s="5" t="s">
        <v>289</v>
      </c>
      <c r="G4" s="5" t="s">
        <v>290</v>
      </c>
      <c r="H4" s="5" t="s">
        <v>291</v>
      </c>
      <c r="I4" s="5" t="s">
        <v>292</v>
      </c>
      <c r="J4" s="5" t="s">
        <v>293</v>
      </c>
      <c r="K4" s="5" t="s">
        <v>294</v>
      </c>
      <c r="L4" s="5" t="s">
        <v>295</v>
      </c>
      <c r="M4" s="5" t="s">
        <v>296</v>
      </c>
      <c r="N4" s="5" t="s">
        <v>297</v>
      </c>
    </row>
    <row r="5" customFormat="false" ht="15" hidden="false" customHeight="false" outlineLevel="0" collapsed="false">
      <c r="A5" s="6" t="s">
        <v>298</v>
      </c>
      <c r="B5" s="22" t="n">
        <v>0.12</v>
      </c>
      <c r="C5" s="22" t="n">
        <v>0.185</v>
      </c>
      <c r="D5" s="18" t="n">
        <v>16</v>
      </c>
      <c r="E5" s="22" t="n">
        <v>0.1</v>
      </c>
      <c r="F5" s="22" t="n">
        <v>0.16</v>
      </c>
      <c r="G5" s="18" t="n">
        <v>13</v>
      </c>
      <c r="H5" s="18" t="n">
        <v>10</v>
      </c>
      <c r="I5" s="22" t="n">
        <v>0</v>
      </c>
      <c r="J5" s="18" t="n">
        <v>10</v>
      </c>
      <c r="K5" s="23" t="n">
        <v>3</v>
      </c>
      <c r="L5" s="39" t="n">
        <f aca="false">Segments!$H$6*(1+B5)*C5/1000</f>
        <v>2.8684768</v>
      </c>
      <c r="M5" s="33" t="n">
        <f aca="false">(L5*D5+Segments!$H$5*(1+E5)*F5/1000*G5+Valuation!$B$7*H5+Segments!$K$8*I5/1000*J5-K5+Valuation!$D$9+Valuation!$D$18)/Valuation!$D$20*1000</f>
        <v>98.3738708746825</v>
      </c>
      <c r="N5" s="40" t="n">
        <f aca="false">M5/Assumptions!$B$7-1</f>
        <v>-0.234920898470349</v>
      </c>
    </row>
    <row r="6" customFormat="false" ht="15" hidden="false" customHeight="false" outlineLevel="0" collapsed="false">
      <c r="A6" s="6" t="s">
        <v>299</v>
      </c>
      <c r="B6" s="46" t="n">
        <f aca="false">Assumptions!$B$41</f>
        <v>0.18</v>
      </c>
      <c r="C6" s="46" t="n">
        <f aca="false">Assumptions!$B$42</f>
        <v>0.2</v>
      </c>
      <c r="D6" s="38" t="n">
        <f aca="false">Assumptions!$B$75</f>
        <v>22</v>
      </c>
      <c r="E6" s="46" t="n">
        <f aca="false">Assumptions!$B$32</f>
        <v>0.17</v>
      </c>
      <c r="F6" s="46" t="n">
        <f aca="false">Assumptions!$B$33</f>
        <v>0.18</v>
      </c>
      <c r="G6" s="38" t="n">
        <f aca="false">Assumptions!$B$76</f>
        <v>18</v>
      </c>
      <c r="H6" s="38" t="n">
        <f aca="false">Assumptions!$B$77</f>
        <v>14</v>
      </c>
      <c r="I6" s="46" t="n">
        <f aca="false">Assumptions!$B$60</f>
        <v>0.02</v>
      </c>
      <c r="J6" s="38" t="n">
        <f aca="false">Assumptions!$B$78</f>
        <v>10</v>
      </c>
      <c r="K6" s="37" t="n">
        <f aca="false">Assumptions!$B$79</f>
        <v>1.5</v>
      </c>
      <c r="L6" s="39" t="n">
        <f aca="false">Segments!$H$6*(1+B6)*C6/1000</f>
        <v>3.267184</v>
      </c>
      <c r="M6" s="33" t="n">
        <f aca="false">(L6*D6+Segments!$H$5*(1+E6)*F6/1000*G6+Valuation!$B$7*H6+Segments!$K$8*I6/1000*J6-K6+Valuation!$D$9+Valuation!$D$18)/Valuation!$D$20*1000</f>
        <v>162.752409803899</v>
      </c>
      <c r="N6" s="40" t="n">
        <f aca="false">M6/Assumptions!$B$7-1</f>
        <v>0.265767691739761</v>
      </c>
    </row>
    <row r="7" customFormat="false" ht="15" hidden="false" customHeight="false" outlineLevel="0" collapsed="false">
      <c r="A7" s="6" t="s">
        <v>300</v>
      </c>
      <c r="B7" s="22" t="n">
        <v>0.22</v>
      </c>
      <c r="C7" s="22" t="n">
        <v>0.21</v>
      </c>
      <c r="D7" s="18" t="n">
        <v>27</v>
      </c>
      <c r="E7" s="22" t="n">
        <v>0.2</v>
      </c>
      <c r="F7" s="22" t="n">
        <v>0.19</v>
      </c>
      <c r="G7" s="18" t="n">
        <v>22</v>
      </c>
      <c r="H7" s="18" t="n">
        <v>16</v>
      </c>
      <c r="I7" s="22" t="n">
        <v>0.04</v>
      </c>
      <c r="J7" s="18" t="n">
        <v>12</v>
      </c>
      <c r="K7" s="23" t="n">
        <v>1</v>
      </c>
      <c r="L7" s="39" t="n">
        <f aca="false">Segments!$H$6*(1+B7)*C7/1000</f>
        <v>3.5468328</v>
      </c>
      <c r="M7" s="33" t="n">
        <f aca="false">(L7*D7+Segments!$H$5*(1+E7)*F7/1000*G7+Valuation!$B$7*H7+Segments!$K$8*I7/1000*J7-K7+Valuation!$D$9+Valuation!$D$18)/Valuation!$D$20*1000</f>
        <v>217.8716627607</v>
      </c>
      <c r="N7" s="40" t="n">
        <f aca="false">M7/Assumptions!$B$7-1</f>
        <v>0.694444414066726</v>
      </c>
    </row>
    <row r="8" customFormat="false" ht="15" hidden="false" customHeight="false" outlineLevel="0" collapsed="false">
      <c r="B8" s="6" t="s">
        <v>298</v>
      </c>
      <c r="C8" s="6" t="s">
        <v>299</v>
      </c>
      <c r="D8" s="6" t="s">
        <v>300</v>
      </c>
    </row>
    <row r="9" customFormat="false" ht="15" hidden="false" customHeight="false" outlineLevel="0" collapsed="false">
      <c r="A9" s="6" t="s">
        <v>301</v>
      </c>
      <c r="B9" s="47" t="n">
        <v>0.25</v>
      </c>
      <c r="C9" s="47" t="n">
        <v>0.5</v>
      </c>
      <c r="D9" s="47" t="n">
        <v>0.25</v>
      </c>
      <c r="E9" s="40" t="n">
        <f aca="false">SUM(B9:D9)</f>
        <v>1</v>
      </c>
      <c r="F9" s="14" t="s">
        <v>302</v>
      </c>
    </row>
    <row r="11" customFormat="false" ht="15" hidden="false" customHeight="false" outlineLevel="0" collapsed="false">
      <c r="A11" s="6" t="s">
        <v>12</v>
      </c>
      <c r="E11" s="42" t="n">
        <f aca="false">B9*M5+C9*M6+D9*M7</f>
        <v>160.437588310795</v>
      </c>
      <c r="F11" s="29" t="n">
        <f aca="false">E11/Assumptions!$B$7-1</f>
        <v>0.247764724768975</v>
      </c>
    </row>
    <row r="13" customFormat="false" ht="15" hidden="false" customHeight="false" outlineLevel="0" collapsed="false">
      <c r="A13" s="14" t="s">
        <v>303</v>
      </c>
    </row>
    <row r="14" customFormat="false" ht="15" hidden="false" customHeight="false" outlineLevel="0" collapsed="false">
      <c r="A14" s="14" t="s">
        <v>304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30"/>
    <col collapsed="false" customWidth="true" hidden="false" outlineLevel="0" max="4" min="2" style="1" width="14"/>
  </cols>
  <sheetData>
    <row r="1" customFormat="false" ht="15" hidden="false" customHeight="false" outlineLevel="0" collapsed="false">
      <c r="A1" s="2" t="s">
        <v>305</v>
      </c>
    </row>
    <row r="2" customFormat="false" ht="15" hidden="false" customHeight="false" outlineLevel="0" collapsed="false">
      <c r="A2" s="3" t="s">
        <v>1</v>
      </c>
    </row>
    <row r="4" customFormat="false" ht="15" hidden="false" customHeight="false" outlineLevel="0" collapsed="false">
      <c r="A4" s="4" t="s">
        <v>306</v>
      </c>
      <c r="B4" s="48" t="n">
        <v>16</v>
      </c>
      <c r="C4" s="48" t="n">
        <f aca="false">Assumptions!$B$75</f>
        <v>22</v>
      </c>
      <c r="D4" s="48" t="n">
        <v>28</v>
      </c>
    </row>
    <row r="5" customFormat="false" ht="15" hidden="false" customHeight="false" outlineLevel="0" collapsed="false">
      <c r="A5" s="49" t="n">
        <v>13</v>
      </c>
      <c r="B5" s="50" t="n">
        <f aca="false">(Valuation!$B$5*B$4+Valuation!$B$6*$A5+SUM(Valuation!$D$7:$D$9)+Valuation!$D$18)/Valuation!$D$20*1000</f>
        <v>121.775732339606</v>
      </c>
      <c r="C5" s="50" t="n">
        <f aca="false">(Valuation!$B$5*C$4+Valuation!$B$6*$A5+SUM(Valuation!$D$7:$D$9)+Valuation!$D$18)/Valuation!$D$20*1000</f>
        <v>145.213512253803</v>
      </c>
      <c r="D5" s="50" t="n">
        <f aca="false">(Valuation!$B$5*D$4+Valuation!$B$6*$A5+SUM(Valuation!$D$7:$D$9)+Valuation!$D$18)/Valuation!$D$20*1000</f>
        <v>168.651292168</v>
      </c>
    </row>
    <row r="6" customFormat="false" ht="15" hidden="false" customHeight="false" outlineLevel="0" collapsed="false">
      <c r="A6" s="38" t="n">
        <f aca="false">Assumptions!$B$76</f>
        <v>18</v>
      </c>
      <c r="B6" s="50" t="n">
        <f aca="false">(Valuation!$B$5*B$4+Valuation!$B$6*$A6+SUM(Valuation!$D$7:$D$9)+Valuation!$D$18)/Valuation!$D$20*1000</f>
        <v>139.314629889702</v>
      </c>
      <c r="C6" s="51" t="n">
        <f aca="false">(Valuation!$B$5*C$4+Valuation!$B$6*$A6+SUM(Valuation!$D$7:$D$9)+Valuation!$D$18)/Valuation!$D$20*1000</f>
        <v>162.752409803899</v>
      </c>
      <c r="D6" s="50" t="n">
        <f aca="false">(Valuation!$B$5*D$4+Valuation!$B$6*$A6+SUM(Valuation!$D$7:$D$9)+Valuation!$D$18)/Valuation!$D$20*1000</f>
        <v>186.190189718096</v>
      </c>
    </row>
    <row r="7" customFormat="false" ht="15" hidden="false" customHeight="false" outlineLevel="0" collapsed="false">
      <c r="A7" s="49" t="n">
        <v>23</v>
      </c>
      <c r="B7" s="50" t="n">
        <f aca="false">(Valuation!$B$5*B$4+Valuation!$B$6*$A7+SUM(Valuation!$D$7:$D$9)+Valuation!$D$18)/Valuation!$D$20*1000</f>
        <v>156.853527439797</v>
      </c>
      <c r="C7" s="50" t="n">
        <f aca="false">(Valuation!$B$5*C$4+Valuation!$B$6*$A7+SUM(Valuation!$D$7:$D$9)+Valuation!$D$18)/Valuation!$D$20*1000</f>
        <v>180.291307353994</v>
      </c>
      <c r="D7" s="50" t="n">
        <f aca="false">(Valuation!$B$5*D$4+Valuation!$B$6*$A7+SUM(Valuation!$D$7:$D$9)+Valuation!$D$18)/Valuation!$D$20*1000</f>
        <v>203.729087268191</v>
      </c>
    </row>
    <row r="9" customFormat="false" ht="15" hidden="false" customHeight="false" outlineLevel="0" collapsed="false">
      <c r="A9" s="6" t="s">
        <v>307</v>
      </c>
      <c r="B9" s="1" t="n">
        <f aca="false">COUNTIF(B5:D7,"&gt;"&amp;Assumptions!$B$7)</f>
        <v>8</v>
      </c>
      <c r="C9" s="1" t="s">
        <v>308</v>
      </c>
    </row>
    <row r="10" customFormat="false" ht="15" hidden="false" customHeight="false" outlineLevel="0" collapsed="false">
      <c r="A10" s="6" t="s">
        <v>309</v>
      </c>
      <c r="B10" s="1" t="n">
        <f aca="false">COUNTIF(B5:D7,"&gt;="&amp;Assumptions!$B$7*1.15)</f>
        <v>6</v>
      </c>
      <c r="C10" s="1" t="s">
        <v>308</v>
      </c>
    </row>
    <row r="12" customFormat="false" ht="15" hidden="false" customHeight="false" outlineLevel="0" collapsed="false">
      <c r="A12" s="14" t="s">
        <v>310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22"/>
    <col collapsed="false" customWidth="true" hidden="false" outlineLevel="0" max="2" min="2" style="1" width="14"/>
    <col collapsed="false" customWidth="true" hidden="false" outlineLevel="0" max="3" min="3" style="1" width="13"/>
    <col collapsed="false" customWidth="true" hidden="false" outlineLevel="0" max="4" min="4" style="1" width="18"/>
    <col collapsed="false" customWidth="true" hidden="false" outlineLevel="0" max="5" min="5" style="1" width="70"/>
  </cols>
  <sheetData>
    <row r="1" customFormat="false" ht="15" hidden="false" customHeight="false" outlineLevel="0" collapsed="false">
      <c r="A1" s="2" t="s">
        <v>311</v>
      </c>
    </row>
    <row r="2" customFormat="false" ht="15" hidden="false" customHeight="false" outlineLevel="0" collapsed="false">
      <c r="A2" s="3" t="s">
        <v>1</v>
      </c>
    </row>
    <row r="4" customFormat="false" ht="15" hidden="false" customHeight="false" outlineLevel="0" collapsed="false">
      <c r="A4" s="4" t="s">
        <v>312</v>
      </c>
      <c r="B4" s="5" t="s">
        <v>313</v>
      </c>
      <c r="C4" s="5" t="s">
        <v>314</v>
      </c>
      <c r="D4" s="5" t="s">
        <v>315</v>
      </c>
      <c r="E4" s="5" t="s">
        <v>316</v>
      </c>
    </row>
    <row r="5" customFormat="false" ht="15" hidden="false" customHeight="false" outlineLevel="0" collapsed="false">
      <c r="A5" s="6" t="s">
        <v>182</v>
      </c>
      <c r="B5" s="1" t="s">
        <v>317</v>
      </c>
      <c r="C5" s="52" t="n">
        <v>22.09</v>
      </c>
      <c r="D5" s="52" t="n">
        <v>26.78</v>
      </c>
      <c r="E5" s="8" t="s">
        <v>318</v>
      </c>
    </row>
    <row r="6" customFormat="false" ht="15" hidden="false" customHeight="false" outlineLevel="0" collapsed="false">
      <c r="A6" s="53" t="s">
        <v>319</v>
      </c>
      <c r="B6" s="1" t="s">
        <v>320</v>
      </c>
      <c r="C6" s="52" t="n">
        <v>22.15</v>
      </c>
      <c r="D6" s="52" t="n">
        <v>24.13</v>
      </c>
      <c r="E6" s="8" t="s">
        <v>321</v>
      </c>
    </row>
    <row r="7" customFormat="false" ht="15" hidden="false" customHeight="false" outlineLevel="0" collapsed="false">
      <c r="A7" s="53" t="s">
        <v>322</v>
      </c>
      <c r="B7" s="1" t="s">
        <v>323</v>
      </c>
      <c r="C7" s="52" t="n">
        <v>20.02</v>
      </c>
      <c r="D7" s="52" t="n">
        <v>20.33</v>
      </c>
      <c r="E7" s="8" t="s">
        <v>324</v>
      </c>
    </row>
    <row r="8" customFormat="false" ht="15" hidden="false" customHeight="false" outlineLevel="0" collapsed="false">
      <c r="A8" s="53" t="s">
        <v>325</v>
      </c>
      <c r="B8" s="1" t="s">
        <v>326</v>
      </c>
      <c r="C8" s="52" t="n">
        <v>25.36</v>
      </c>
      <c r="D8" s="52" t="n">
        <v>31.14</v>
      </c>
      <c r="E8" s="8" t="s">
        <v>327</v>
      </c>
    </row>
    <row r="9" customFormat="false" ht="15" hidden="false" customHeight="false" outlineLevel="0" collapsed="false">
      <c r="A9" s="53" t="s">
        <v>328</v>
      </c>
      <c r="B9" s="1" t="s">
        <v>329</v>
      </c>
      <c r="C9" s="52" t="n">
        <v>19.44</v>
      </c>
      <c r="D9" s="52" t="n">
        <v>20.76</v>
      </c>
      <c r="E9" s="8" t="s">
        <v>330</v>
      </c>
    </row>
    <row r="10" customFormat="false" ht="15" hidden="false" customHeight="false" outlineLevel="0" collapsed="false">
      <c r="A10" s="53" t="s">
        <v>331</v>
      </c>
      <c r="B10" s="1" t="s">
        <v>332</v>
      </c>
      <c r="C10" s="52" t="n">
        <v>24.04</v>
      </c>
      <c r="D10" s="52" t="n">
        <v>18.57</v>
      </c>
      <c r="E10" s="8" t="s">
        <v>333</v>
      </c>
    </row>
    <row r="11" customFormat="false" ht="15" hidden="false" customHeight="false" outlineLevel="0" collapsed="false">
      <c r="A11" s="53" t="s">
        <v>334</v>
      </c>
      <c r="B11" s="1" t="s">
        <v>335</v>
      </c>
      <c r="C11" s="52" t="n">
        <v>42.61</v>
      </c>
      <c r="D11" s="52" t="n">
        <v>84.18</v>
      </c>
      <c r="E11" s="8" t="s">
        <v>336</v>
      </c>
    </row>
    <row r="12" customFormat="false" ht="15" hidden="false" customHeight="false" outlineLevel="0" collapsed="false">
      <c r="A12" s="53" t="s">
        <v>337</v>
      </c>
      <c r="B12" s="1" t="s">
        <v>338</v>
      </c>
      <c r="C12" s="52" t="n">
        <v>28.67</v>
      </c>
      <c r="D12" s="52" t="n">
        <v>21.48</v>
      </c>
      <c r="E12" s="8" t="s">
        <v>339</v>
      </c>
    </row>
    <row r="13" customFormat="false" ht="15" hidden="false" customHeight="false" outlineLevel="0" collapsed="false">
      <c r="A13" s="53" t="s">
        <v>340</v>
      </c>
      <c r="B13" s="1" t="s">
        <v>341</v>
      </c>
      <c r="C13" s="52" t="n">
        <v>20.93</v>
      </c>
      <c r="D13" s="52" t="n">
        <v>20.91</v>
      </c>
      <c r="E13" s="8" t="s">
        <v>342</v>
      </c>
    </row>
    <row r="14" customFormat="false" ht="15" hidden="false" customHeight="false" outlineLevel="0" collapsed="false">
      <c r="A14" s="53" t="s">
        <v>343</v>
      </c>
      <c r="B14" s="1" t="s">
        <v>344</v>
      </c>
      <c r="C14" s="52" t="n">
        <v>17.31</v>
      </c>
      <c r="D14" s="52" t="n">
        <v>15.46</v>
      </c>
      <c r="E14" s="8" t="s">
        <v>345</v>
      </c>
    </row>
    <row r="16" customFormat="false" ht="15" hidden="false" customHeight="false" outlineLevel="0" collapsed="false">
      <c r="A16" s="6" t="s">
        <v>346</v>
      </c>
      <c r="C16" s="45" t="n">
        <f aca="false">MEDIAN(C6:C10)</f>
        <v>22.15</v>
      </c>
      <c r="D16" s="45" t="n">
        <f aca="false">MEDIAN(D6:D10)</f>
        <v>20.76</v>
      </c>
    </row>
    <row r="17" customFormat="false" ht="15" hidden="false" customHeight="false" outlineLevel="0" collapsed="false">
      <c r="A17" s="6" t="s">
        <v>347</v>
      </c>
      <c r="C17" s="45" t="n">
        <f aca="false">MEDIAN(C6:C9)</f>
        <v>21.085</v>
      </c>
      <c r="D17" s="45" t="n">
        <f aca="false">MEDIAN(D6:D9)</f>
        <v>22.445</v>
      </c>
    </row>
    <row r="19" customFormat="false" ht="15" hidden="false" customHeight="false" outlineLevel="0" collapsed="false">
      <c r="A19" s="14" t="s">
        <v>348</v>
      </c>
    </row>
    <row r="20" customFormat="false" ht="15" hidden="false" customHeight="false" outlineLevel="0" collapsed="false">
      <c r="A20" s="14" t="s">
        <v>349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6"/>
    <col collapsed="false" customWidth="true" hidden="false" outlineLevel="0" max="2" min="2" style="1" width="140"/>
  </cols>
  <sheetData>
    <row r="1" customFormat="false" ht="15" hidden="false" customHeight="false" outlineLevel="0" collapsed="false">
      <c r="A1" s="2" t="s">
        <v>350</v>
      </c>
    </row>
    <row r="2" customFormat="false" ht="15" hidden="false" customHeight="false" outlineLevel="0" collapsed="false">
      <c r="A2" s="3" t="s">
        <v>1</v>
      </c>
    </row>
    <row r="4" customFormat="false" ht="15" hidden="false" customHeight="false" outlineLevel="0" collapsed="false">
      <c r="A4" s="4" t="s">
        <v>351</v>
      </c>
      <c r="B4" s="5" t="s">
        <v>352</v>
      </c>
    </row>
    <row r="5" customFormat="false" ht="23.85" hidden="false" customHeight="false" outlineLevel="0" collapsed="false">
      <c r="A5" s="1" t="n">
        <v>1</v>
      </c>
      <c r="B5" s="8" t="s">
        <v>353</v>
      </c>
    </row>
    <row r="6" customFormat="false" ht="23.85" hidden="false" customHeight="false" outlineLevel="0" collapsed="false">
      <c r="A6" s="1" t="n">
        <v>2</v>
      </c>
      <c r="B6" s="8" t="s">
        <v>354</v>
      </c>
    </row>
    <row r="7" customFormat="false" ht="23.85" hidden="false" customHeight="false" outlineLevel="0" collapsed="false">
      <c r="A7" s="1" t="n">
        <v>3</v>
      </c>
      <c r="B7" s="8" t="s">
        <v>355</v>
      </c>
    </row>
    <row r="8" customFormat="false" ht="15" hidden="false" customHeight="false" outlineLevel="0" collapsed="false">
      <c r="A8" s="1" t="n">
        <v>4</v>
      </c>
      <c r="B8" s="8" t="s">
        <v>356</v>
      </c>
    </row>
    <row r="9" customFormat="false" ht="23.85" hidden="false" customHeight="false" outlineLevel="0" collapsed="false">
      <c r="A9" s="1" t="n">
        <v>5</v>
      </c>
      <c r="B9" s="8" t="s">
        <v>357</v>
      </c>
    </row>
    <row r="10" customFormat="false" ht="15" hidden="false" customHeight="false" outlineLevel="0" collapsed="false">
      <c r="A10" s="1" t="n">
        <v>6</v>
      </c>
      <c r="B10" s="8" t="s">
        <v>358</v>
      </c>
    </row>
    <row r="11" customFormat="false" ht="15" hidden="false" customHeight="false" outlineLevel="0" collapsed="false">
      <c r="A11" s="1" t="n">
        <v>7</v>
      </c>
      <c r="B11" s="8" t="s">
        <v>359</v>
      </c>
    </row>
    <row r="12" customFormat="false" ht="15" hidden="false" customHeight="false" outlineLevel="0" collapsed="false">
      <c r="A12" s="1" t="n">
        <v>8</v>
      </c>
      <c r="B12" s="8" t="s">
        <v>360</v>
      </c>
    </row>
    <row r="13" customFormat="false" ht="15" hidden="false" customHeight="false" outlineLevel="0" collapsed="false">
      <c r="A13" s="1" t="n">
        <v>9</v>
      </c>
      <c r="B13" s="8" t="s">
        <v>361</v>
      </c>
    </row>
    <row r="14" customFormat="false" ht="15" hidden="false" customHeight="false" outlineLevel="0" collapsed="false">
      <c r="A14" s="1" t="n">
        <v>10</v>
      </c>
      <c r="B14" s="8" t="s">
        <v>362</v>
      </c>
    </row>
    <row r="15" customFormat="false" ht="15" hidden="false" customHeight="false" outlineLevel="0" collapsed="false">
      <c r="A15" s="1" t="n">
        <v>11</v>
      </c>
      <c r="B15" s="8" t="s">
        <v>363</v>
      </c>
    </row>
    <row r="16" customFormat="false" ht="15" hidden="false" customHeight="false" outlineLevel="0" collapsed="false">
      <c r="A16" s="1" t="n">
        <v>12</v>
      </c>
      <c r="B16" s="8" t="s">
        <v>364</v>
      </c>
    </row>
    <row r="17" customFormat="false" ht="23.85" hidden="false" customHeight="false" outlineLevel="0" collapsed="false">
      <c r="A17" s="1" t="n">
        <v>13</v>
      </c>
      <c r="B17" s="8" t="s">
        <v>365</v>
      </c>
    </row>
    <row r="18" customFormat="false" ht="15" hidden="false" customHeight="false" outlineLevel="0" collapsed="false">
      <c r="A18" s="1" t="n">
        <v>14</v>
      </c>
      <c r="B18" s="8" t="s">
        <v>366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2026-10-28T05:52:26Z</dcterms:created>
  <dc:creator>openpyxl</dc:creator>
  <dc:description/>
  <dc:language>en-GB</dc:language>
  <cp:lastModifiedBy/>
  <dcterms:modified xsi:type="dcterms:W3CDTF">2026-10-28T05:52:26Z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