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Segments" sheetId="3" state="visible" r:id="rId5"/>
    <sheet name="EPS" sheetId="4" state="visible" r:id="rId6"/>
    <sheet name="Valuation" sheetId="5" state="visible" r:id="rId7"/>
    <sheet name="Scenarios" sheetId="6" state="visible" r:id="rId8"/>
    <sheet name="Sensitivity" sheetId="7" state="visible" r:id="rId9"/>
    <sheet name="Queue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<sst xmlns="http://schemas.openxmlformats.org/spreadsheetml/2006/main" count="487" uniqueCount="345">
  <si>
    <t xml:space="preserve">EATON CORPORATION PLC (NYSE: ETN)  INITIATION MODEL</t>
  </si>
  <si>
    <t xml:space="preserve">Tommy Lau | Eaton Corporation plc (NYSE: ETN) | 2026-10-26 | Personal research, not investment advice.</t>
  </si>
  <si>
    <t xml:space="preserve">Item</t>
  </si>
  <si>
    <t xml:space="preserve">Value</t>
  </si>
  <si>
    <t xml:space="preserve">Note</t>
  </si>
  <si>
    <t xml:space="preserve">Call (Tommy Lau, 26 October 2026)</t>
  </si>
  <si>
    <t xml:space="preserve">LONG at +15% or more, SHORT at -25% or worse, NO CALL between.</t>
  </si>
  <si>
    <t xml:space="preserve">Conviction</t>
  </si>
  <si>
    <t xml:space="preserve">Low</t>
  </si>
  <si>
    <t xml:space="preserve">Judgement, not formula.</t>
  </si>
  <si>
    <t xml:space="preserve">Target, US$</t>
  </si>
  <si>
    <t xml:space="preserve">Base value rounded down.</t>
  </si>
  <si>
    <t xml:space="preserve">Base value per share, US$</t>
  </si>
  <si>
    <t xml:space="preserve">Base multiple x 2028E adjusted EPS, continuing operations.</t>
  </si>
  <si>
    <t xml:space="preserve">Reference price, US$</t>
  </si>
  <si>
    <t xml:space="preserve">NYSE close, 23 October 2026.</t>
  </si>
  <si>
    <t xml:space="preserve">Base value against price</t>
  </si>
  <si>
    <t xml:space="preserve">Probability-weighted value, US$</t>
  </si>
  <si>
    <t xml:space="preserve">25 / 50 / 25 bear / base / bull.</t>
  </si>
  <si>
    <t xml:space="preserve">2028E adjusted EPS, US$</t>
  </si>
  <si>
    <t xml:space="preserve">My estimate.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</si>
  <si>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</si>
  <si>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</si>
  <si>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</si>
  <si>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</si>
  <si>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Electrical Americas operating margin is below 29 per cent in the fourth quarter of 2026, after Eaton said price and cost would be back in balance in the second half; or 2026 adjusted earnings per share land below the US$13.40 bottom of Eaton's guide; or Electrical Americas backlog over its previous four quarters of sales falls for two consecutive quarters before mid 2027.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</si>
  <si>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</si>
  <si>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</si>
  <si>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</si>
  <si>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Segments</t>
  </si>
  <si>
    <t xml:space="preserve">Sales, margin and operating profit by segment, 2024A to 2028E.</t>
  </si>
  <si>
    <t xml:space="preserve">EPS</t>
  </si>
  <si>
    <t xml:space="preserve">Bridge from segment profit to adjusted EPS; against the guide and consensus.</t>
  </si>
  <si>
    <t xml:space="preserve">Valuation</t>
  </si>
  <si>
    <t xml:space="preserve">Base value, the band, multiples at the price, revisit levels.</t>
  </si>
  <si>
    <t xml:space="preserve">Scenarios</t>
  </si>
  <si>
    <t xml:space="preserve">Bear / base / bull and the probability-weighted value.</t>
  </si>
  <si>
    <t xml:space="preserve">Sensitivity</t>
  </si>
  <si>
    <t xml:space="preserve">2028E EPS against the multiple.</t>
  </si>
  <si>
    <t xml:space="preserve">Queue</t>
  </si>
  <si>
    <t xml:space="preserve">Electrical Americas backlog over trailing sales: the claim's test.</t>
  </si>
  <si>
    <t xml:space="preserve">Peers</t>
  </si>
  <si>
    <t xml:space="preserve">Forward P/E and trailing EV/EBIT used to set the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</si>
  <si>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</si>
  <si>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</si>
  <si>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</si>
  <si>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2026-10-26_Eaton_Initiation.pdf.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</si>
  <si>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</si>
  <si>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million unless stated. Year end 31 December.</t>
  </si>
  <si>
    <t xml:space="preserve">Input</t>
  </si>
  <si>
    <t xml:space="preserve">Unit</t>
  </si>
  <si>
    <t xml:space="preserve">Source / note</t>
  </si>
  <si>
    <t xml:space="preserve">MARKET</t>
  </si>
  <si>
    <t xml:space="preserve">Reference share price</t>
  </si>
  <si>
    <t xml:space="preserve">US$</t>
  </si>
  <si>
    <t xml:space="preserve">NYSE close, 23 October 2026. Yahoo Finance ETN, retrieved 26 October 2026.</t>
  </si>
  <si>
    <t xml:space="preserve">Highest close, 12 August 2026</t>
  </si>
  <si>
    <t xml:space="preserve">Yahoo Finance. Intraday high US$478.00 the same day.</t>
  </si>
  <si>
    <t xml:space="preserve">Close, 31 December 2025</t>
  </si>
  <si>
    <t xml:space="preserve">Yahoo Finance.</t>
  </si>
  <si>
    <t xml:space="preserve">Ordinary shares outstanding, 30 June 2026</t>
  </si>
  <si>
    <t xml:space="preserve">m</t>
  </si>
  <si>
    <t xml:space="preserve">Form 10-Q, quarter to 30 June 2026.</t>
  </si>
  <si>
    <t xml:space="preserve">Diluted weighted shares, Q2 2026</t>
  </si>
  <si>
    <t xml:space="preserve">Q2 2026 earnings release, Form 8-K Ex. 99, 31 July 2026.</t>
  </si>
  <si>
    <t xml:space="preserve">Cash and short-term investments, 30 June 2026</t>
  </si>
  <si>
    <t xml:space="preserve">US$m</t>
  </si>
  <si>
    <t xml:space="preserve">Q2 2026 earnings release, Form 8-K Ex. 99, 31 July 2026: cash 483 + short-term investments 212.</t>
  </si>
  <si>
    <t xml:space="preserve">Debt, 30 June 2026</t>
  </si>
  <si>
    <t xml:space="preserve">Q2 2026 earnings release, Form 8-K Ex. 99, 31 July 2026: short-term debt 2,091 + current portion 11 + long-term debt 18,509.</t>
  </si>
  <si>
    <t xml:space="preserve">Noncontrolling interests, 30 June 2026</t>
  </si>
  <si>
    <t xml:space="preserve">GUIDANCE AND CONSENSUS</t>
  </si>
  <si>
    <t xml:space="preserve">2026 adjusted EPS guide, low</t>
  </si>
  <si>
    <t xml:space="preserve">Q2 2026 earnings release, Form 8-K Ex. 99, 31 July 2026. Raised from US$13.05 to 13.50 in May.</t>
  </si>
  <si>
    <t xml:space="preserve">2026 adjusted EPS guide, high</t>
  </si>
  <si>
    <t xml:space="preserve">2024 adjusted EPS</t>
  </si>
  <si>
    <t xml:space="preserve">Q4 2025 earnings release.</t>
  </si>
  <si>
    <t xml:space="preserve">2025 adjusted EPS</t>
  </si>
  <si>
    <t xml:space="preserve">Q2 2026 earnings release, Form 8-K Ex. 99, 31 July 2026, reconciliation.</t>
  </si>
  <si>
    <t xml:space="preserve">2026 consensus adjusted EPS</t>
  </si>
  <si>
    <t xml:space="preserve">stockanalysis.com (S&amp;P Global), updated 20 October 2026, retrieved 26 October 2026. Cross-check only.</t>
  </si>
  <si>
    <t xml:space="preserve">2027 consensus adjusted EPS</t>
  </si>
  <si>
    <t xml:space="preserve">stockanalysis.com, as above. May include Mobility for part of the year. Cross-check only.</t>
  </si>
  <si>
    <t xml:space="preserve">Average analyst target</t>
  </si>
  <si>
    <t xml:space="preserve">stockanalysis.com: 28 analysts, low US$333, high US$534. Cross-check only.</t>
  </si>
  <si>
    <t xml:space="preserve">SEGMENTS, ACTUAL (EATON RELEASES)</t>
  </si>
  <si>
    <t xml:space="preserve">Electrical Americas sales, 2024</t>
  </si>
  <si>
    <t xml:space="preserve">Q4 2024 earnings release, 31 January 2025.</t>
  </si>
  <si>
    <t xml:space="preserve">Electrical Americas operating profit, 2024</t>
  </si>
  <si>
    <t xml:space="preserve">Q4 2024 earnings release.</t>
  </si>
  <si>
    <t xml:space="preserve">Electrical Americas sales, 2025</t>
  </si>
  <si>
    <t xml:space="preserve">Q4 2025 earnings release and 2025 Form 10-K.</t>
  </si>
  <si>
    <t xml:space="preserve">Electrical Americas operating profit, 2025</t>
  </si>
  <si>
    <t xml:space="preserve">Electrical Americas sales, first half 2026</t>
  </si>
  <si>
    <t xml:space="preserve">Electrical Americas operating profit, first half 2026</t>
  </si>
  <si>
    <t xml:space="preserve">Electrical Global sales, 2024</t>
  </si>
  <si>
    <t xml:space="preserve">Electrical Global operating profit, 2024</t>
  </si>
  <si>
    <t xml:space="preserve">Electrical Global sales, 2025</t>
  </si>
  <si>
    <t xml:space="preserve">Electrical Global operating profit, 2025</t>
  </si>
  <si>
    <t xml:space="preserve">Electrical Global sales, first half 2026</t>
  </si>
  <si>
    <t xml:space="preserve">Electrical Global operating profit, first half 2026</t>
  </si>
  <si>
    <t xml:space="preserve">Aerospace sales, 2024</t>
  </si>
  <si>
    <t xml:space="preserve">Aerospace operating profit, 2024</t>
  </si>
  <si>
    <t xml:space="preserve">Aerospace sales, 2025</t>
  </si>
  <si>
    <t xml:space="preserve">Aerospace operating profit, 2025</t>
  </si>
  <si>
    <t xml:space="preserve">Aerospace sales, first half 2026</t>
  </si>
  <si>
    <t xml:space="preserve">Aerospace operating profit, first half 2026</t>
  </si>
  <si>
    <t xml:space="preserve">Mobility (Vehicle + eMobility) sales, 2024</t>
  </si>
  <si>
    <t xml:space="preserve">Mobility (Vehicle + eMobility) operating profit, 2024</t>
  </si>
  <si>
    <t xml:space="preserve">Mobility (Vehicle + eMobility) sales, 2025</t>
  </si>
  <si>
    <t xml:space="preserve">Mobility (Vehicle + eMobility) operating profit, 2025</t>
  </si>
  <si>
    <t xml:space="preserve">Mobility (Vehicle + eMobility) sales, first half 2026</t>
  </si>
  <si>
    <t xml:space="preserve">Mobility (Vehicle + eMobility) operating profit, first half 2026</t>
  </si>
  <si>
    <t xml:space="preserve">Corporate other expense excluding acquisition charges, first half 2026</t>
  </si>
  <si>
    <t xml:space="preserve">Derived: other expense net 655 less acquisition and divestiture charges 263 (Q2 release, Note 4).</t>
  </si>
  <si>
    <t xml:space="preserve">Interest expense net, first half 2026</t>
  </si>
  <si>
    <t xml:space="preserve">MY ESTIMATES: SECOND HALF OF 2026</t>
  </si>
  <si>
    <t xml:space="preserve">Electrical Americas sales, second half 2026</t>
  </si>
  <si>
    <t xml:space="preserve">MY ESTIMATE. Q3 3,990 and Q4 4,100: about 17% growth on the same quarters of 2025, near Q2's 18% organic.</t>
  </si>
  <si>
    <t xml:space="preserve">Electrical Americas operating margin, second half 2026</t>
  </si>
  <si>
    <t xml:space="preserve">%</t>
  </si>
  <si>
    <t xml:space="preserve">MY ESTIMATE. Back to its 2025 level as Eaton guides price and cost to roughly neutral in the second half; Q3 2025 was 30.3%.</t>
  </si>
  <si>
    <t xml:space="preserve">Electrical Global sales, second half 2026</t>
  </si>
  <si>
    <t xml:space="preserve">MY ESTIMATE. 2,450 a quarter: about 16% organic plus Boyd Thermal at Q2's level.</t>
  </si>
  <si>
    <t xml:space="preserve">Electrical Global operating margin, second half 2026</t>
  </si>
  <si>
    <t xml:space="preserve">MY ESTIMATE.</t>
  </si>
  <si>
    <t xml:space="preserve">Aerospace sales, second half 2026</t>
  </si>
  <si>
    <t xml:space="preserve">MY ESTIMATE. Q3 1,230 and Q4 1,255: 7% organic plus Ultra PCS.</t>
  </si>
  <si>
    <t xml:space="preserve">Aerospace operating margin, second half 2026</t>
  </si>
  <si>
    <t xml:space="preserve">Mobility sales, second half 2026</t>
  </si>
  <si>
    <t xml:space="preserve">MY ESTIMATE. 780 and 760: flat to slightly down.</t>
  </si>
  <si>
    <t xml:space="preserve">Mobility operating margin, second half 2026</t>
  </si>
  <si>
    <t xml:space="preserve">Corporate other expense excluding charges, 2026</t>
  </si>
  <si>
    <t xml:space="preserve">MY ESTIMATE. First half 392.</t>
  </si>
  <si>
    <t xml:space="preserve">Interest expense net, 2026</t>
  </si>
  <si>
    <t xml:space="preserve">MY ESTIMATE. First half 307; about 200 a quarter after the Boyd Thermal debt.</t>
  </si>
  <si>
    <t xml:space="preserve">Pension and other postretirement income</t>
  </si>
  <si>
    <t xml:space="preserve">Tax rate on adjusted pre-tax profit</t>
  </si>
  <si>
    <t xml:space="preserve">MY ESTIMATE. About 18% in 2025 and 22% in the first half of 2026 by my arithmetic; 19% reproduces the 2026 guide midpoint.</t>
  </si>
  <si>
    <t xml:space="preserve">Net income to noncontrolling interests</t>
  </si>
  <si>
    <t xml:space="preserve">MY ASSUMPTIONS: 2027 AND 2028, CONTINUING OPERATIONS (MOBILITY OUT, PRO FORMA FROM 1 JANUARY 2027)</t>
  </si>
  <si>
    <t xml:space="preserve">Electrical Americas sales growth, 2027</t>
  </si>
  <si>
    <t xml:space="preserve">MY ASSUMPTION. Near the 2026 pace; 12.6 months of sales already on order at June 2026.</t>
  </si>
  <si>
    <t xml:space="preserve">Electrical Americas sales growth, 2028</t>
  </si>
  <si>
    <t xml:space="preserve">MY ASSUMPTION. New plants add capacity from 2027.</t>
  </si>
  <si>
    <t xml:space="preserve">Electrical Americas operating margin, 2027</t>
  </si>
  <si>
    <t xml:space="preserve">MY ASSUMPTION. 2025 level was 29.9%.</t>
  </si>
  <si>
    <t xml:space="preserve">Electrical Americas operating margin, 2028</t>
  </si>
  <si>
    <t xml:space="preserve">MY ASSUMPTION.</t>
  </si>
  <si>
    <t xml:space="preserve">Electrical Global organic growth, 2027</t>
  </si>
  <si>
    <t xml:space="preserve">Boyd Thermal sales against the 2026 stub period</t>
  </si>
  <si>
    <t xml:space="preserve">MY ESTIMATE. Boyd closed 12 March 2026; it added 25% to Q2 Electrical Global sales (about 440 a quarter).</t>
  </si>
  <si>
    <t xml:space="preserve">Electrical Global growth, 2028</t>
  </si>
  <si>
    <t xml:space="preserve">Electrical Global operating margin, 2027</t>
  </si>
  <si>
    <t xml:space="preserve">MY ASSUMPTION. Q2 2026 19.8%.</t>
  </si>
  <si>
    <t xml:space="preserve">Electrical Global operating margin, 2028</t>
  </si>
  <si>
    <t xml:space="preserve">Aerospace growth, 2027</t>
  </si>
  <si>
    <t xml:space="preserve">Aerospace growth, 2028</t>
  </si>
  <si>
    <t xml:space="preserve">Aerospace operating margin, 2027</t>
  </si>
  <si>
    <t xml:space="preserve">MY ASSUMPTION. First half 2026 24.6%.</t>
  </si>
  <si>
    <t xml:space="preserve">Aerospace operating margin, 2028</t>
  </si>
  <si>
    <t xml:space="preserve">Corporate other expense, 2027</t>
  </si>
  <si>
    <t xml:space="preserve">Corporate other expense, 2028</t>
  </si>
  <si>
    <t xml:space="preserve">Interest expense net, 2027</t>
  </si>
  <si>
    <t xml:space="preserve">MY ASSUMPTION. Debt repaid from the ~US$1.1bn Dana cash and free cash flow after dividends.</t>
  </si>
  <si>
    <t xml:space="preserve">Interest expense net, 2028</t>
  </si>
  <si>
    <t xml:space="preserve">Eaton shares retired in the Mobility exchange offer</t>
  </si>
  <si>
    <t xml:space="preserve">MY ASSUMPTION. Mobility valued at ~US$5.1bn less ~US$1.1bn cash leaves ~US$4.0bn of combined-company shares for Eaton holders; a split-off at a ~7% discount retires about 10m Eaton shares. Zero if it becomes a pro rata spin-off. No other buybacks.</t>
  </si>
  <si>
    <t xml:space="preserve">Base multiple, P/E on 2028E adjusted EPS</t>
  </si>
  <si>
    <t xml:space="preserve">x</t>
  </si>
  <si>
    <t xml:space="preserve">MY ASSUMPTION. Eaton's own forward P/E averaged 24.0x for 2021 to 2025 (stockanalysis.com); one turn lower; peer median 20.5x.</t>
  </si>
  <si>
    <t xml:space="preserve">SEGMENTS: SALES AND OPERATING PROFIT, 2024A TO 2028E (US$ MILLION)</t>
  </si>
  <si>
    <t xml:space="preserve">US$ million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</si>
  <si>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</si>
  <si>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</si>
  <si>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</si>
  <si>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</si>
  <si>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</si>
  <si>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Electrical Americas: sales</t>
  </si>
  <si>
    <t xml:space="preserve">  growth</t>
  </si>
  <si>
    <t xml:space="preserve">  operating margin</t>
  </si>
  <si>
    <t xml:space="preserve">  operating profit</t>
  </si>
  <si>
    <t xml:space="preserve">Electrical Global: sales</t>
  </si>
  <si>
    <t xml:space="preserve">Aerospace: sales</t>
  </si>
  <si>
    <t xml:space="preserve">Mobility (to be combined with Dana, Q1 2027): sales</t>
  </si>
  <si>
    <t xml:space="preserve">Total sales</t>
  </si>
  <si>
    <t xml:space="preserve">Total segment operating profit</t>
  </si>
  <si>
    <t xml:space="preserve">Segment margin</t>
  </si>
  <si>
    <t xml:space="preserve">*2026E combines Eaton's first-half results with my second-half estimates; 2027E and 2028E are my estimates for continuing operations,</t>
  </si>
  <si>
    <t xml:space="preserve">Electrical Americas, Electrical Global and Aerospace, with Mobility treated as gone from 1 January 2027 (the Dana transaction is expected to close in Q1 2027).</t>
  </si>
  <si>
    <t xml:space="preserve">Eaton guides 2026 segment margins to 24.1 to 24.5% and organic growth to 11 to 13% (31 July 2026). 2024A and 2025A as reported; Mobility recast as Vehicle plus eMobility.</t>
  </si>
  <si>
    <t xml:space="preserve">ADJUSTED EPS BRIDGE (US$ MILLION UNLESS STATED)</t>
  </si>
  <si>
    <t xml:space="preserve">Segment operating profit</t>
  </si>
  <si>
    <t xml:space="preserve">Corporate other expense, excluding charges</t>
  </si>
  <si>
    <t xml:space="preserve">Interest expense, net</t>
  </si>
  <si>
    <t xml:space="preserve">Adjusted pre-tax profit</t>
  </si>
  <si>
    <t xml:space="preserve">Tax</t>
  </si>
  <si>
    <t xml:space="preserve">Noncontrolling interests</t>
  </si>
  <si>
    <t xml:space="preserve">Adjusted earnings</t>
  </si>
  <si>
    <t xml:space="preserve">Diluted shares, m</t>
  </si>
  <si>
    <t xml:space="preserve">ADJUSTED EPS, US$</t>
  </si>
  <si>
    <t xml:space="preserve">Growth</t>
  </si>
  <si>
    <t xml:space="preserve">Eaton guide / consensus, US$</t>
  </si>
  <si>
    <t xml:space="preserve">Mine against it</t>
  </si>
  <si>
    <t xml:space="preserve">*My estimates. 2026E uses Eaton's first-half results plus my second half; the bridge with a 19% tax rate reproduces the midpoint of Eaton's 2026 guide.</t>
  </si>
  <si>
    <t xml:space="preserve">Adjusted EPS excludes intangible amortisation, acquisition and divestiture charges and restructuring, as Eaton defines it. 2024A and 2025A are as reported.</t>
  </si>
  <si>
    <t xml:space="preserve">2027E and 2028E exclude Mobility and use diluted shares less the shares retired in the exchange offer. Consensus 2027 (stockanalysis.com) may still include some Mobility.</t>
  </si>
  <si>
    <t xml:space="preserve">VALUATION: P/E ON 2028E ADJUSTED EPS, TWELVE MONTHS OUT</t>
  </si>
  <si>
    <t xml:space="preserve">Working / note</t>
  </si>
  <si>
    <t xml:space="preserve">Continuing operations, my estimate.</t>
  </si>
  <si>
    <t xml:space="preserve">Base multiple</t>
  </si>
  <si>
    <t xml:space="preserve">Eaton's 2021 to 2025 average forward P/E of 24.0x, less one turn.</t>
  </si>
  <si>
    <t xml:space="preserve">BASE VALUE PER SHARE, US$</t>
  </si>
  <si>
    <t xml:space="preserve">Band: LONG at +15% or more, SHORT at -25% or worse, NO CALL between.</t>
  </si>
  <si>
    <t xml:space="preserve">VIEW ON THE BAND</t>
  </si>
  <si>
    <t xml:space="preserve">Tommy Lau's call, 26 October 2026: LONG, target US$430, Low conviction.</t>
  </si>
  <si>
    <t xml:space="preserve">Target, US$ (base value rounded down)</t>
  </si>
  <si>
    <t xml:space="preserve">Judgement: rounded down from the base value.</t>
  </si>
  <si>
    <t xml:space="preserve">Target against price</t>
  </si>
  <si>
    <t xml:space="preserve">Market value, US$bn</t>
  </si>
  <si>
    <t xml:space="preserve">Shares outstanding at 30 June 2026.</t>
  </si>
  <si>
    <t xml:space="preserve">Net debt, US$m, 30 June 2026</t>
  </si>
  <si>
    <t xml:space="preserve">Enterprise value, US$bn</t>
  </si>
  <si>
    <t xml:space="preserve">Before leases and pensions.</t>
  </si>
  <si>
    <t xml:space="preserve">P/E on 2026 guide midpoint</t>
  </si>
  <si>
    <t xml:space="preserve">P/E on 2026E (mine)</t>
  </si>
  <si>
    <t xml:space="preserve">P/E on 2027 consensus</t>
  </si>
  <si>
    <t xml:space="preserve">stockanalysis.com.</t>
  </si>
  <si>
    <t xml:space="preserve">P/E on 2027E (mine)</t>
  </si>
  <si>
    <t xml:space="preserve">P/E on 2028E (mine): what the price pays</t>
  </si>
  <si>
    <t xml:space="preserve">P/E on 2026 guide midpoint at the August high</t>
  </si>
  <si>
    <t xml:space="preserve">Close of US$459.96, 12 August 2026.</t>
  </si>
  <si>
    <t xml:space="preserve">Multiple of 2028E needed for a value 15% above the price</t>
  </si>
  <si>
    <t xml:space="preserve">Price below which the base value is 15% or more above it, US$</t>
  </si>
  <si>
    <t xml:space="preserve">Price above which the base value is 25% or more below it, US$</t>
  </si>
  <si>
    <t xml:space="preserve">Price against the highest close</t>
  </si>
  <si>
    <t xml:space="preserve">Price change in 2026 to date</t>
  </si>
  <si>
    <t xml:space="preserve">Average analyst target against price</t>
  </si>
  <si>
    <t xml:space="preserve">Cross-check only.</t>
  </si>
  <si>
    <t xml:space="preserve">THREE CASES, TWELVE MONTHS OUT (VALUE = MULTIPLE x 2028E ADJUSTED EPS)</t>
  </si>
  <si>
    <t xml:space="preserve">Case</t>
  </si>
  <si>
    <t xml:space="preserve">EA growth 27</t>
  </si>
  <si>
    <t xml:space="preserve">EA growth 28</t>
  </si>
  <si>
    <t xml:space="preserve">EA margin 27</t>
  </si>
  <si>
    <t xml:space="preserve">EA margin 28</t>
  </si>
  <si>
    <t xml:space="preserve">Other growth +/-</t>
  </si>
  <si>
    <t xml:space="preserve">Other margin +/-</t>
  </si>
  <si>
    <t xml:space="preserve">Multiple</t>
  </si>
  <si>
    <t xml:space="preserve">EA sales 28</t>
  </si>
  <si>
    <t xml:space="preserve">Other sales 28</t>
  </si>
  <si>
    <t xml:space="preserve">Segment OP 28</t>
  </si>
  <si>
    <t xml:space="preserve">2028E EPS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</si>
  <si>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</si>
  <si>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</si>
  <si>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</si>
  <si>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</si>
  <si>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</si>
  <si>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</si>
  <si>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</si>
  <si>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Check: base case equals the Valuation tab</t>
  </si>
  <si>
    <t xml:space="preserve">All cases start from my 2026E segment sales and use the same EPS bridge (corporate costs, interest, tax, shares). 'Other' = Electrical Global and Aerospace.</t>
  </si>
  <si>
    <t xml:space="preserve">Bear: AI data centre orders pause in 2027; EA growth 8% then 4%, margin slips to 27.5% as the queue shortens and price competition returns; 18x.</t>
  </si>
  <si>
    <t xml:space="preserve">Bull: capacity arrives early and orders hold; EA growth 19% then 16%, margin 31.5%; 26x, near Eaton's own forward multiple today and below its August peak.</t>
  </si>
  <si>
    <t xml:space="preserve">VALUE PER SHARE: 2028E ADJUSTED EPS AGAINST THE P/E (US$)</t>
  </si>
  <si>
    <t xml:space="preserve">2028E EPS \ P/E</t>
  </si>
  <si>
    <t xml:space="preserve">Cells above the reference price</t>
  </si>
  <si>
    <t xml:space="preserve">of 9</t>
  </si>
  <si>
    <t xml:space="preserve">Cells 15% or more above the price</t>
  </si>
  <si>
    <t xml:space="preserve">The middle row links to the model's 2028E EPS and the middle column to the base multiple.</t>
  </si>
  <si>
    <t xml:space="preserve">ELECTRICAL AMERICAS: BACKLOG, SALES AND THE CLAIM'S TEST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</si>
  <si>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</si>
  <si>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</si>
  <si>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</si>
  <si>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</si>
  <si>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</si>
  <si>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</si>
  <si>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</si>
  <si>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</si>
  <si>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</si>
  <si>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</si>
  <si>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Sales</t>
  </si>
  <si>
    <t xml:space="preserve">Operating profit</t>
  </si>
  <si>
    <t xml:space="preserve">Operating margin</t>
  </si>
  <si>
    <t xml:space="preserve">Sales over the previous four quarters</t>
  </si>
  <si>
    <t xml:space="preserve">Backlog at quarter end</t>
  </si>
  <si>
    <t xml:space="preserve">Backlog / previous four quarters' sales (years)</t>
  </si>
  <si>
    <t xml:space="preserve">Months of sales on order</t>
  </si>
  <si>
    <t xml:space="preserve">Trailing sales growth, June 2025 to June 2026</t>
  </si>
  <si>
    <t xml:space="preserve">Backlog growth, June 2025 to June 2026</t>
  </si>
  <si>
    <t xml:space="preserve">The claim's floor before end 2027 (June 2025 level)</t>
  </si>
  <si>
    <t xml:space="preserve">My Q3 2026 sales estimate</t>
  </si>
  <si>
    <t xml:space="preserve">September 2026 backlog needed for the ratio not to fall</t>
  </si>
  <si>
    <t xml:space="preserve">Sources: Eaton quarterly earnings releases (Form 8-K Ex. 99), Q2 2024 to Q2 2026, for sales and operating profit; Form 10-K 2025 for backlog at Dec 2024 and</t>
  </si>
  <si>
    <t xml:space="preserve">Dec 2025; Form 10-Qs for Mar 2025 (10,050), Jun 2025 and Jun 2026 (11,377 and 15,175), Sep 2025 (12,009) and Mar 2026 (14,459). The ratio is my arithmetic;</t>
  </si>
  <si>
    <t xml:space="preserve">Eaton does not publish it. Fibrebond (acquired 1 April 2025) is in the June 2025 backlog but in only one quarter of that date's trailing sales.</t>
  </si>
  <si>
    <t xml:space="preserve">Q1 and Q2 2026 margins: 480 and 470 bps hits from commodity inflation (10-Qs); Eaton expects price and cost roughly neutral in the second half (Q2 call).</t>
  </si>
  <si>
    <t xml:space="preserve">PEER MULTIPLES (stockanalysis.com, RETRIEVED 26 OCTOBER 2026)</t>
  </si>
  <si>
    <t xml:space="preserve">Company</t>
  </si>
  <si>
    <t xml:space="preserve">Ticker</t>
  </si>
  <si>
    <t xml:space="preserve">Forward P/E</t>
  </si>
  <si>
    <t xml:space="preserve">EV/EBIT (trailing)</t>
  </si>
  <si>
    <t xml:space="preserve">What they make</t>
  </si>
  <si>
    <t xml:space="preserve">Eaton</t>
  </si>
  <si>
    <t xml:space="preserve">NYSE: ETN</t>
  </si>
  <si>
    <t xml:space="preserve">Switchgear, UPS, busway, power enclosures, liquid cooling; aerospace</t>
  </si>
  <si>
    <t xml:space="preserve">Vertiv</t>
  </si>
  <si>
    <t xml:space="preserve">NYSE: VRT</t>
  </si>
  <si>
    <t xml:space="preserve">Data centre power, thermal and liquid cooling</t>
  </si>
  <si>
    <t xml:space="preserve">ABB</t>
  </si>
  <si>
    <t xml:space="preserve">SWX: ABBN</t>
  </si>
  <si>
    <t xml:space="preserve">Electrification and automation equipment</t>
  </si>
  <si>
    <t xml:space="preserve">nVent</t>
  </si>
  <si>
    <t xml:space="preserve">NYSE: NVT</t>
  </si>
  <si>
    <t xml:space="preserve">Enclosures, electrical connections, liquid cooling</t>
  </si>
  <si>
    <t xml:space="preserve">Hubbell</t>
  </si>
  <si>
    <t xml:space="preserve">NYSE: HUBB</t>
  </si>
  <si>
    <t xml:space="preserve">Utility and electrical components</t>
  </si>
  <si>
    <t xml:space="preserve">Siemens</t>
  </si>
  <si>
    <t xml:space="preserve">ETR: SIE</t>
  </si>
  <si>
    <t xml:space="preserve">Smart infrastructure, automation, rail, software</t>
  </si>
  <si>
    <t xml:space="preserve">Legrand</t>
  </si>
  <si>
    <t xml:space="preserve">EPA: LR</t>
  </si>
  <si>
    <t xml:space="preserve">Electrical and digital building infrastructure, data centre white space</t>
  </si>
  <si>
    <t xml:space="preserve">Schneider Electric</t>
  </si>
  <si>
    <t xml:space="preserve">EPA: SU</t>
  </si>
  <si>
    <t xml:space="preserve">Electrical distribution, automation, data centre power and cooling</t>
  </si>
  <si>
    <t xml:space="preserve">Peer median (excluding Eaton)</t>
  </si>
  <si>
    <t xml:space="preserve">Eaton forward P/E, 2021 to 2025 average</t>
  </si>
  <si>
    <t xml:space="preserve">Multiples only, to set the range of multiples. No view on the peers' shares is expressed. GE Vernova is left out: its trailing</t>
  </si>
  <si>
    <t xml:space="preserve">EV/EBIT of 76x reflects earnings still recovering. Eaton's history: 23.9x, 19.5x, 24.5x, 28.2x, 23.8x for 2021 to 2025 (stockanalysis.com).</t>
  </si>
  <si>
    <t xml:space="preserve">SOURCES</t>
  </si>
  <si>
    <t xml:space="preserve">No.</t>
  </si>
  <si>
    <t xml:space="preserve">Source and what it supports</t>
  </si>
  <si>
    <t xml:space="preserve">Eaton second quarter 2026 earnings release, Form 8-K Ex. 99, 31 July 2026: segment sales and profit, income statement, adjusted EPS bridge, balance sheet, 2026 and Q3 guidance, Boyd Thermal, Ultra PCS, Mobility separation.</t>
  </si>
  <si>
    <t xml:space="preserve">Eaton Form 10-Q, quarter to 30 June 2026, filed 31 July 2026: Electrical Americas backlog, book-to-bill and margin bridge; total backlog ~US$24.1bn; shares outstanding; no repurchases in 2026.</t>
  </si>
  <si>
    <t xml:space="preserve">Eaton Form 10-Qs for the quarters to 31 March 2025, 30 September 2025 and 31 March 2026, and the 2025 Form 10-K (filed 26 February 2026): Electrical Americas backlog and margin bridges.</t>
  </si>
  <si>
    <t xml:space="preserve">Eaton quarterly earnings releases, Form 8-K Ex. 99, 1 August 2024 to 5 May 2026: segment sales and operating profit by quarter; 2024 and 2025 adjusted EPS; earlier 2026 guidance.</t>
  </si>
  <si>
    <t xml:space="preserve">Eaton Form 8-K of 11 June 2026 and Ex. 99.1: Mobility to combine with Dana Incorporated in a Reverse Morris Trust; Mobility valued at about US$5.1bn; ~US$1.1bn cash; close expected Q1 2027.</t>
  </si>
  <si>
    <t xml:space="preserve">Eaton Form 8-K of 16 October 2026: 2025 financial statements recast for the Mobility segment. Form 8-K of 5 October 2026: change of principal accounting officer.</t>
  </si>
  <si>
    <t xml:space="preserve">Eaton press release, 'Eaton to announce third quarter 2026 earnings on November 3, 2026' (Business Wire, via Yahoo Finance and MarketScreener).</t>
  </si>
  <si>
    <t xml:space="preserve">Eaton second quarter 2026 earnings call, 31 July 2026, third-party transcript (Motley Fool via The Globe and Mail): price and cost back to roughly neutral in the second half; capacity the priority.</t>
  </si>
  <si>
    <t xml:space="preserve">Yahoo Finance, ETN chart data, retrieved 26 October 2026: month-end and daily closes, highs.</t>
  </si>
  <si>
    <t xml:space="preserve">stockanalysis.com (S&amp;P Global Market Intelligence data), retrieved 26 October 2026: consensus EPS and revenue (updated 20 October), average target, Eaton and peer forward P/E and EV/EBIT.</t>
  </si>
  <si>
    <t xml:space="preserve">The Physical Layer, 'Eaton is shipping more electrical gear than ever, and its order book is growing faster still', 26 October 2026: https://thephysicallayer.fyi/journal/eaton-order-book-outruns-it/</t>
  </si>
  <si>
    <t xml:space="preserve">Estimates for the second half of 2026, 2027 and 2028 are the author's own. Personal research, not investment advice.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</si>
</sst>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&quot;US$&quot;#,##0.00"/>
    <numFmt numFmtId="166" formatCode="0.0%"/>
    <numFmt numFmtId="167" formatCode="#,##0.0"/>
    <numFmt numFmtId="168" formatCode="#,##0"/>
    <numFmt numFmtId="169" formatCode="0\x"/>
    <numFmt numFmtId="170" formatCode="0.0\x"/>
    <numFmt numFmtId="171" formatCode="0%"/>
    <numFmt numFmtId="172" formatCode="0.000"/>
    <numFmt numFmtId="173" formatCode="&quot;US$&quot;#,##0"/>
    <numFmt numFmtId="174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4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Valuation!B10</f>
        <v>LONG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Valuation!B11</f>
        <v>430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Valuation!B7</f>
        <v>433.572708984242</v>
      </c>
      <c r="C8" s="7" t="s">
        <v>13</v>
      </c>
    </row>
    <row r="9" customFormat="false" ht="15" hidden="false" customHeight="false" outlineLevel="0" collapsed="false">
      <c r="A9" s="5" t="s">
        <v>14</v>
      </c>
      <c r="B9" s="9" t="n">
        <f aca="false">Assumptions!$B$7</f>
        <v>366.11</v>
      </c>
      <c r="C9" s="7" t="s">
        <v>15</v>
      </c>
    </row>
    <row r="10" customFormat="false" ht="15" hidden="false" customHeight="false" outlineLevel="0" collapsed="false">
      <c r="A10" s="5" t="s">
        <v>16</v>
      </c>
      <c r="B10" s="10" t="n">
        <f aca="false">Valuation!B9</f>
        <v>0.184268960105549</v>
      </c>
      <c r="C10" s="7"/>
    </row>
    <row r="11" customFormat="false" ht="15" hidden="false" customHeight="false" outlineLevel="0" collapsed="false">
      <c r="A11" s="5" t="s">
        <v>17</v>
      </c>
      <c r="B11" s="9" t="n">
        <f aca="false">Scenarios!E11</f>
        <v>417.729567113419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9" t="n">
        <f aca="false">EPS!F14</f>
        <v>18.850987347141</v>
      </c>
      <c r="C12" s="7" t="s">
        <v>20</v>
      </c>
    </row>
    <row r="13" customFormat="false" ht="15" hidden="false" customHeight="false" outlineLevel="0" collapsed="false">
      <c r="A13" s="5" t="s">
        <v>21</v>
      </c>
      <c r="B13" s="8" t="s">
        <v>22</v>
      </c>
      <c r="C13" s="7"/>
    </row>
    <row r="14" customFormat="false" ht="57.75" hidden="false" customHeight="true" outlineLevel="0" collapsed="false">
      <c r="A14" s="5" t="s">
        <v>23</v>
      </c>
      <c r="B14" s="8" t="s">
        <v>24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8" customFormat="false" ht="15" hidden="false" customHeight="false" outlineLevel="0" collapsed="false">
      <c r="A28" s="12" t="s">
        <v>45</v>
      </c>
    </row>
    <row r="29" customFormat="false" ht="15" hidden="false" customHeight="false" outlineLevel="0" collapsed="false">
      <c r="A29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10"/>
  </cols>
  <sheetData>
    <row r="1" customFormat="false" ht="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48</v>
      </c>
    </row>
    <row r="5" customFormat="false" ht="15" hidden="false" customHeight="false" outlineLevel="0" collapsed="false">
      <c r="A5" s="3" t="s">
        <v>49</v>
      </c>
      <c r="B5" s="4" t="s">
        <v>3</v>
      </c>
      <c r="C5" s="4" t="s">
        <v>50</v>
      </c>
      <c r="D5" s="4" t="s">
        <v>51</v>
      </c>
    </row>
    <row r="6" customFormat="false" ht="15" hidden="false" customHeight="false" outlineLevel="0" collapsed="false">
      <c r="A6" s="11" t="s">
        <v>52</v>
      </c>
    </row>
    <row r="7" customFormat="false" ht="15" hidden="false" customHeight="false" outlineLevel="0" collapsed="false">
      <c r="A7" s="0" t="s">
        <v>53</v>
      </c>
      <c r="B7" s="13" t="n">
        <v>366.11</v>
      </c>
      <c r="C7" s="0" t="s">
        <v>54</v>
      </c>
      <c r="D7" s="7" t="s">
        <v>55</v>
      </c>
    </row>
    <row r="8" customFormat="false" ht="15" hidden="false" customHeight="false" outlineLevel="0" collapsed="false">
      <c r="A8" s="0" t="s">
        <v>56</v>
      </c>
      <c r="B8" s="13" t="n">
        <v>459.96</v>
      </c>
      <c r="C8" s="0" t="s">
        <v>54</v>
      </c>
      <c r="D8" s="7" t="s">
        <v>57</v>
      </c>
    </row>
    <row r="9" customFormat="false" ht="15" hidden="false" customHeight="false" outlineLevel="0" collapsed="false">
      <c r="A9" s="0" t="s">
        <v>58</v>
      </c>
      <c r="B9" s="13" t="n">
        <v>318.51</v>
      </c>
      <c r="C9" s="0" t="s">
        <v>54</v>
      </c>
      <c r="D9" s="7" t="s">
        <v>59</v>
      </c>
    </row>
    <row r="10" customFormat="false" ht="15" hidden="false" customHeight="false" outlineLevel="0" collapsed="false">
      <c r="A10" s="0" t="s">
        <v>60</v>
      </c>
      <c r="B10" s="14" t="n">
        <v>388.4</v>
      </c>
      <c r="C10" s="0" t="s">
        <v>61</v>
      </c>
      <c r="D10" s="7" t="s">
        <v>62</v>
      </c>
    </row>
    <row r="11" customFormat="false" ht="15" hidden="false" customHeight="false" outlineLevel="0" collapsed="false">
      <c r="A11" s="0" t="s">
        <v>63</v>
      </c>
      <c r="B11" s="14" t="n">
        <v>389.5</v>
      </c>
      <c r="C11" s="0" t="s">
        <v>61</v>
      </c>
      <c r="D11" s="7" t="s">
        <v>64</v>
      </c>
    </row>
    <row r="12" customFormat="false" ht="15" hidden="false" customHeight="false" outlineLevel="0" collapsed="false">
      <c r="A12" s="0" t="s">
        <v>65</v>
      </c>
      <c r="B12" s="15" t="n">
        <v>695</v>
      </c>
      <c r="C12" s="0" t="s">
        <v>66</v>
      </c>
      <c r="D12" s="7" t="s">
        <v>67</v>
      </c>
    </row>
    <row r="13" customFormat="false" ht="15" hidden="false" customHeight="false" outlineLevel="0" collapsed="false">
      <c r="A13" s="0" t="s">
        <v>68</v>
      </c>
      <c r="B13" s="15" t="n">
        <v>20611</v>
      </c>
      <c r="C13" s="0" t="s">
        <v>66</v>
      </c>
      <c r="D13" s="7" t="s">
        <v>69</v>
      </c>
    </row>
    <row r="14" customFormat="false" ht="15" hidden="false" customHeight="false" outlineLevel="0" collapsed="false">
      <c r="A14" s="0" t="s">
        <v>70</v>
      </c>
      <c r="B14" s="15" t="n">
        <v>45</v>
      </c>
      <c r="C14" s="0" t="s">
        <v>66</v>
      </c>
      <c r="D14" s="7" t="s">
        <v>64</v>
      </c>
    </row>
    <row r="15" customFormat="false" ht="15" hidden="false" customHeight="false" outlineLevel="0" collapsed="false">
      <c r="A15" s="11" t="s">
        <v>71</v>
      </c>
    </row>
    <row r="16" customFormat="false" ht="15" hidden="false" customHeight="false" outlineLevel="0" collapsed="false">
      <c r="A16" s="0" t="s">
        <v>72</v>
      </c>
      <c r="B16" s="13" t="n">
        <v>13.4</v>
      </c>
      <c r="C16" s="0" t="s">
        <v>54</v>
      </c>
      <c r="D16" s="7" t="s">
        <v>73</v>
      </c>
    </row>
    <row r="17" customFormat="false" ht="15" hidden="false" customHeight="false" outlineLevel="0" collapsed="false">
      <c r="A17" s="0" t="s">
        <v>74</v>
      </c>
      <c r="B17" s="13" t="n">
        <v>13.6</v>
      </c>
      <c r="C17" s="0" t="s">
        <v>54</v>
      </c>
      <c r="D17" s="7" t="s">
        <v>64</v>
      </c>
    </row>
    <row r="18" customFormat="false" ht="15" hidden="false" customHeight="false" outlineLevel="0" collapsed="false">
      <c r="A18" s="0" t="s">
        <v>75</v>
      </c>
      <c r="B18" s="13" t="n">
        <v>10.8</v>
      </c>
      <c r="C18" s="0" t="s">
        <v>54</v>
      </c>
      <c r="D18" s="7" t="s">
        <v>76</v>
      </c>
    </row>
    <row r="19" customFormat="false" ht="15" hidden="false" customHeight="false" outlineLevel="0" collapsed="false">
      <c r="A19" s="0" t="s">
        <v>77</v>
      </c>
      <c r="B19" s="13" t="n">
        <v>12.07</v>
      </c>
      <c r="C19" s="0" t="s">
        <v>54</v>
      </c>
      <c r="D19" s="7" t="s">
        <v>78</v>
      </c>
    </row>
    <row r="20" customFormat="false" ht="15" hidden="false" customHeight="false" outlineLevel="0" collapsed="false">
      <c r="A20" s="0" t="s">
        <v>79</v>
      </c>
      <c r="B20" s="13" t="n">
        <v>13.6</v>
      </c>
      <c r="C20" s="0" t="s">
        <v>54</v>
      </c>
      <c r="D20" s="7" t="s">
        <v>80</v>
      </c>
    </row>
    <row r="21" customFormat="false" ht="15" hidden="false" customHeight="false" outlineLevel="0" collapsed="false">
      <c r="A21" s="0" t="s">
        <v>81</v>
      </c>
      <c r="B21" s="13" t="n">
        <v>16.3</v>
      </c>
      <c r="C21" s="0" t="s">
        <v>54</v>
      </c>
      <c r="D21" s="7" t="s">
        <v>82</v>
      </c>
    </row>
    <row r="22" customFormat="false" ht="15" hidden="false" customHeight="false" outlineLevel="0" collapsed="false">
      <c r="A22" s="0" t="s">
        <v>83</v>
      </c>
      <c r="B22" s="13" t="n">
        <v>485.47</v>
      </c>
      <c r="C22" s="0" t="s">
        <v>54</v>
      </c>
      <c r="D22" s="7" t="s">
        <v>84</v>
      </c>
    </row>
    <row r="23" customFormat="false" ht="15" hidden="false" customHeight="false" outlineLevel="0" collapsed="false">
      <c r="A23" s="11" t="s">
        <v>85</v>
      </c>
    </row>
    <row r="24" customFormat="false" ht="15" hidden="false" customHeight="false" outlineLevel="0" collapsed="false">
      <c r="A24" s="0" t="s">
        <v>86</v>
      </c>
      <c r="B24" s="15" t="n">
        <v>11436</v>
      </c>
      <c r="C24" s="0" t="s">
        <v>66</v>
      </c>
      <c r="D24" s="7" t="s">
        <v>87</v>
      </c>
    </row>
    <row r="25" customFormat="false" ht="15" hidden="false" customHeight="false" outlineLevel="0" collapsed="false">
      <c r="A25" s="0" t="s">
        <v>88</v>
      </c>
      <c r="B25" s="15" t="n">
        <v>3455</v>
      </c>
      <c r="C25" s="0" t="s">
        <v>66</v>
      </c>
      <c r="D25" s="7" t="s">
        <v>89</v>
      </c>
    </row>
    <row r="26" customFormat="false" ht="15" hidden="false" customHeight="false" outlineLevel="0" collapsed="false">
      <c r="A26" s="0" t="s">
        <v>90</v>
      </c>
      <c r="B26" s="15" t="n">
        <v>13276</v>
      </c>
      <c r="C26" s="0" t="s">
        <v>66</v>
      </c>
      <c r="D26" s="7" t="s">
        <v>91</v>
      </c>
    </row>
    <row r="27" customFormat="false" ht="15" hidden="false" customHeight="false" outlineLevel="0" collapsed="false">
      <c r="A27" s="0" t="s">
        <v>92</v>
      </c>
      <c r="B27" s="15" t="n">
        <v>3972</v>
      </c>
      <c r="C27" s="0" t="s">
        <v>66</v>
      </c>
      <c r="D27" s="7" t="s">
        <v>76</v>
      </c>
    </row>
    <row r="28" customFormat="false" ht="15" hidden="false" customHeight="false" outlineLevel="0" collapsed="false">
      <c r="A28" s="0" t="s">
        <v>93</v>
      </c>
      <c r="B28" s="15" t="n">
        <v>7551</v>
      </c>
      <c r="C28" s="0" t="s">
        <v>66</v>
      </c>
      <c r="D28" s="7" t="s">
        <v>64</v>
      </c>
    </row>
    <row r="29" customFormat="false" ht="15" hidden="false" customHeight="false" outlineLevel="0" collapsed="false">
      <c r="A29" s="0" t="s">
        <v>94</v>
      </c>
      <c r="B29" s="15" t="n">
        <v>2010</v>
      </c>
      <c r="C29" s="0" t="s">
        <v>66</v>
      </c>
      <c r="D29" s="7" t="s">
        <v>64</v>
      </c>
    </row>
    <row r="30" customFormat="false" ht="15" hidden="false" customHeight="false" outlineLevel="0" collapsed="false">
      <c r="A30" s="0" t="s">
        <v>95</v>
      </c>
      <c r="B30" s="15" t="n">
        <v>6248</v>
      </c>
      <c r="C30" s="0" t="s">
        <v>66</v>
      </c>
      <c r="D30" s="7" t="s">
        <v>87</v>
      </c>
    </row>
    <row r="31" customFormat="false" ht="15" hidden="false" customHeight="false" outlineLevel="0" collapsed="false">
      <c r="A31" s="0" t="s">
        <v>96</v>
      </c>
      <c r="B31" s="15" t="n">
        <v>1149</v>
      </c>
      <c r="C31" s="0" t="s">
        <v>66</v>
      </c>
      <c r="D31" s="7" t="s">
        <v>89</v>
      </c>
    </row>
    <row r="32" customFormat="false" ht="15" hidden="false" customHeight="false" outlineLevel="0" collapsed="false">
      <c r="A32" s="0" t="s">
        <v>97</v>
      </c>
      <c r="B32" s="15" t="n">
        <v>6815</v>
      </c>
      <c r="C32" s="0" t="s">
        <v>66</v>
      </c>
      <c r="D32" s="7" t="s">
        <v>91</v>
      </c>
    </row>
    <row r="33" customFormat="false" ht="15" hidden="false" customHeight="false" outlineLevel="0" collapsed="false">
      <c r="A33" s="0" t="s">
        <v>98</v>
      </c>
      <c r="B33" s="15" t="n">
        <v>1323</v>
      </c>
      <c r="C33" s="0" t="s">
        <v>66</v>
      </c>
      <c r="D33" s="7" t="s">
        <v>76</v>
      </c>
    </row>
    <row r="34" customFormat="false" ht="15" hidden="false" customHeight="false" outlineLevel="0" collapsed="false">
      <c r="A34" s="0" t="s">
        <v>99</v>
      </c>
      <c r="B34" s="15" t="n">
        <v>4463</v>
      </c>
      <c r="C34" s="0" t="s">
        <v>66</v>
      </c>
      <c r="D34" s="7" t="s">
        <v>64</v>
      </c>
    </row>
    <row r="35" customFormat="false" ht="15" hidden="false" customHeight="false" outlineLevel="0" collapsed="false">
      <c r="A35" s="0" t="s">
        <v>100</v>
      </c>
      <c r="B35" s="15" t="n">
        <v>873</v>
      </c>
      <c r="C35" s="0" t="s">
        <v>66</v>
      </c>
      <c r="D35" s="7" t="s">
        <v>64</v>
      </c>
    </row>
    <row r="36" customFormat="false" ht="15" hidden="false" customHeight="false" outlineLevel="0" collapsed="false">
      <c r="A36" s="0" t="s">
        <v>101</v>
      </c>
      <c r="B36" s="15" t="n">
        <v>3744</v>
      </c>
      <c r="C36" s="0" t="s">
        <v>66</v>
      </c>
      <c r="D36" s="7" t="s">
        <v>87</v>
      </c>
    </row>
    <row r="37" customFormat="false" ht="15" hidden="false" customHeight="false" outlineLevel="0" collapsed="false">
      <c r="A37" s="0" t="s">
        <v>102</v>
      </c>
      <c r="B37" s="15" t="n">
        <v>859</v>
      </c>
      <c r="C37" s="0" t="s">
        <v>66</v>
      </c>
      <c r="D37" s="7" t="s">
        <v>89</v>
      </c>
    </row>
    <row r="38" customFormat="false" ht="15" hidden="false" customHeight="false" outlineLevel="0" collapsed="false">
      <c r="A38" s="0" t="s">
        <v>103</v>
      </c>
      <c r="B38" s="15" t="n">
        <v>4249</v>
      </c>
      <c r="C38" s="0" t="s">
        <v>66</v>
      </c>
      <c r="D38" s="7" t="s">
        <v>91</v>
      </c>
    </row>
    <row r="39" customFormat="false" ht="15" hidden="false" customHeight="false" outlineLevel="0" collapsed="false">
      <c r="A39" s="0" t="s">
        <v>104</v>
      </c>
      <c r="B39" s="15" t="n">
        <v>1013</v>
      </c>
      <c r="C39" s="0" t="s">
        <v>66</v>
      </c>
      <c r="D39" s="7" t="s">
        <v>76</v>
      </c>
    </row>
    <row r="40" customFormat="false" ht="15" hidden="false" customHeight="false" outlineLevel="0" collapsed="false">
      <c r="A40" s="0" t="s">
        <v>105</v>
      </c>
      <c r="B40" s="15" t="n">
        <v>2362</v>
      </c>
      <c r="C40" s="0" t="s">
        <v>66</v>
      </c>
      <c r="D40" s="7" t="s">
        <v>64</v>
      </c>
    </row>
    <row r="41" customFormat="false" ht="15" hidden="false" customHeight="false" outlineLevel="0" collapsed="false">
      <c r="A41" s="0" t="s">
        <v>106</v>
      </c>
      <c r="B41" s="15" t="n">
        <v>582</v>
      </c>
      <c r="C41" s="0" t="s">
        <v>66</v>
      </c>
      <c r="D41" s="7" t="s">
        <v>64</v>
      </c>
    </row>
    <row r="42" customFormat="false" ht="15" hidden="false" customHeight="false" outlineLevel="0" collapsed="false">
      <c r="A42" s="0" t="s">
        <v>107</v>
      </c>
      <c r="B42" s="15" t="n">
        <v>3452</v>
      </c>
      <c r="C42" s="0" t="s">
        <v>66</v>
      </c>
      <c r="D42" s="7" t="s">
        <v>87</v>
      </c>
    </row>
    <row r="43" customFormat="false" ht="15" hidden="false" customHeight="false" outlineLevel="0" collapsed="false">
      <c r="A43" s="0" t="s">
        <v>108</v>
      </c>
      <c r="B43" s="15" t="n">
        <v>495</v>
      </c>
      <c r="C43" s="0" t="s">
        <v>66</v>
      </c>
      <c r="D43" s="7" t="s">
        <v>89</v>
      </c>
    </row>
    <row r="44" customFormat="false" ht="15" hidden="false" customHeight="false" outlineLevel="0" collapsed="false">
      <c r="A44" s="0" t="s">
        <v>109</v>
      </c>
      <c r="B44" s="15" t="n">
        <v>3109</v>
      </c>
      <c r="C44" s="0" t="s">
        <v>66</v>
      </c>
      <c r="D44" s="7" t="s">
        <v>91</v>
      </c>
    </row>
    <row r="45" customFormat="false" ht="15" hidden="false" customHeight="false" outlineLevel="0" collapsed="false">
      <c r="A45" s="0" t="s">
        <v>110</v>
      </c>
      <c r="B45" s="15" t="n">
        <v>405</v>
      </c>
      <c r="C45" s="0" t="s">
        <v>66</v>
      </c>
      <c r="D45" s="7" t="s">
        <v>76</v>
      </c>
    </row>
    <row r="46" customFormat="false" ht="15" hidden="false" customHeight="false" outlineLevel="0" collapsed="false">
      <c r="A46" s="0" t="s">
        <v>111</v>
      </c>
      <c r="B46" s="15" t="n">
        <v>1607</v>
      </c>
      <c r="C46" s="0" t="s">
        <v>66</v>
      </c>
      <c r="D46" s="7" t="s">
        <v>64</v>
      </c>
    </row>
    <row r="47" customFormat="false" ht="15" hidden="false" customHeight="false" outlineLevel="0" collapsed="false">
      <c r="A47" s="0" t="s">
        <v>112</v>
      </c>
      <c r="B47" s="15" t="n">
        <v>198</v>
      </c>
      <c r="C47" s="0" t="s">
        <v>66</v>
      </c>
      <c r="D47" s="7" t="s">
        <v>64</v>
      </c>
    </row>
    <row r="48" customFormat="false" ht="15" hidden="false" customHeight="false" outlineLevel="0" collapsed="false">
      <c r="A48" s="0" t="s">
        <v>113</v>
      </c>
      <c r="B48" s="15" t="n">
        <v>392</v>
      </c>
      <c r="C48" s="0" t="s">
        <v>66</v>
      </c>
      <c r="D48" s="7" t="s">
        <v>114</v>
      </c>
    </row>
    <row r="49" customFormat="false" ht="15" hidden="false" customHeight="false" outlineLevel="0" collapsed="false">
      <c r="A49" s="0" t="s">
        <v>115</v>
      </c>
      <c r="B49" s="15" t="n">
        <v>307</v>
      </c>
      <c r="C49" s="0" t="s">
        <v>66</v>
      </c>
      <c r="D49" s="7" t="s">
        <v>64</v>
      </c>
    </row>
    <row r="50" customFormat="false" ht="15" hidden="false" customHeight="false" outlineLevel="0" collapsed="false">
      <c r="A50" s="11" t="s">
        <v>116</v>
      </c>
    </row>
    <row r="51" customFormat="false" ht="15" hidden="false" customHeight="false" outlineLevel="0" collapsed="false">
      <c r="A51" s="0" t="s">
        <v>117</v>
      </c>
      <c r="B51" s="16" t="n">
        <v>8090</v>
      </c>
      <c r="C51" s="0" t="s">
        <v>66</v>
      </c>
      <c r="D51" s="7" t="s">
        <v>118</v>
      </c>
    </row>
    <row r="52" customFormat="false" ht="15" hidden="false" customHeight="false" outlineLevel="0" collapsed="false">
      <c r="A52" s="0" t="s">
        <v>119</v>
      </c>
      <c r="B52" s="17" t="n">
        <v>0.305</v>
      </c>
      <c r="C52" s="0" t="s">
        <v>120</v>
      </c>
      <c r="D52" s="7" t="s">
        <v>121</v>
      </c>
    </row>
    <row r="53" customFormat="false" ht="15" hidden="false" customHeight="false" outlineLevel="0" collapsed="false">
      <c r="A53" s="0" t="s">
        <v>122</v>
      </c>
      <c r="B53" s="16" t="n">
        <v>4900</v>
      </c>
      <c r="C53" s="0" t="s">
        <v>66</v>
      </c>
      <c r="D53" s="7" t="s">
        <v>123</v>
      </c>
    </row>
    <row r="54" customFormat="false" ht="15" hidden="false" customHeight="false" outlineLevel="0" collapsed="false">
      <c r="A54" s="0" t="s">
        <v>124</v>
      </c>
      <c r="B54" s="17" t="n">
        <v>0.21</v>
      </c>
      <c r="C54" s="0" t="s">
        <v>120</v>
      </c>
      <c r="D54" s="7" t="s">
        <v>125</v>
      </c>
    </row>
    <row r="55" customFormat="false" ht="15" hidden="false" customHeight="false" outlineLevel="0" collapsed="false">
      <c r="A55" s="0" t="s">
        <v>126</v>
      </c>
      <c r="B55" s="16" t="n">
        <v>2485</v>
      </c>
      <c r="C55" s="0" t="s">
        <v>66</v>
      </c>
      <c r="D55" s="7" t="s">
        <v>127</v>
      </c>
    </row>
    <row r="56" customFormat="false" ht="15" hidden="false" customHeight="false" outlineLevel="0" collapsed="false">
      <c r="A56" s="0" t="s">
        <v>128</v>
      </c>
      <c r="B56" s="17" t="n">
        <v>0.25</v>
      </c>
      <c r="C56" s="0" t="s">
        <v>120</v>
      </c>
      <c r="D56" s="7" t="s">
        <v>125</v>
      </c>
    </row>
    <row r="57" customFormat="false" ht="15" hidden="false" customHeight="false" outlineLevel="0" collapsed="false">
      <c r="A57" s="0" t="s">
        <v>129</v>
      </c>
      <c r="B57" s="16" t="n">
        <v>1540</v>
      </c>
      <c r="C57" s="0" t="s">
        <v>66</v>
      </c>
      <c r="D57" s="7" t="s">
        <v>130</v>
      </c>
    </row>
    <row r="58" customFormat="false" ht="15" hidden="false" customHeight="false" outlineLevel="0" collapsed="false">
      <c r="A58" s="0" t="s">
        <v>131</v>
      </c>
      <c r="B58" s="17" t="n">
        <v>0.13</v>
      </c>
      <c r="C58" s="0" t="s">
        <v>120</v>
      </c>
      <c r="D58" s="7" t="s">
        <v>125</v>
      </c>
    </row>
    <row r="59" customFormat="false" ht="15" hidden="false" customHeight="false" outlineLevel="0" collapsed="false">
      <c r="A59" s="0" t="s">
        <v>132</v>
      </c>
      <c r="B59" s="16" t="n">
        <v>790</v>
      </c>
      <c r="C59" s="0" t="s">
        <v>66</v>
      </c>
      <c r="D59" s="7" t="s">
        <v>133</v>
      </c>
    </row>
    <row r="60" customFormat="false" ht="15" hidden="false" customHeight="false" outlineLevel="0" collapsed="false">
      <c r="A60" s="0" t="s">
        <v>134</v>
      </c>
      <c r="B60" s="16" t="n">
        <v>710</v>
      </c>
      <c r="C60" s="0" t="s">
        <v>66</v>
      </c>
      <c r="D60" s="7" t="s">
        <v>135</v>
      </c>
    </row>
    <row r="61" customFormat="false" ht="15" hidden="false" customHeight="false" outlineLevel="0" collapsed="false">
      <c r="A61" s="0" t="s">
        <v>136</v>
      </c>
      <c r="B61" s="16" t="n">
        <v>10</v>
      </c>
      <c r="C61" s="0" t="s">
        <v>66</v>
      </c>
      <c r="D61" s="7" t="s">
        <v>125</v>
      </c>
    </row>
    <row r="62" customFormat="false" ht="15" hidden="false" customHeight="false" outlineLevel="0" collapsed="false">
      <c r="A62" s="0" t="s">
        <v>137</v>
      </c>
      <c r="B62" s="17" t="n">
        <v>0.19</v>
      </c>
      <c r="C62" s="0" t="s">
        <v>120</v>
      </c>
      <c r="D62" s="7" t="s">
        <v>138</v>
      </c>
    </row>
    <row r="63" customFormat="false" ht="15" hidden="false" customHeight="false" outlineLevel="0" collapsed="false">
      <c r="A63" s="0" t="s">
        <v>139</v>
      </c>
      <c r="B63" s="16" t="n">
        <v>5</v>
      </c>
      <c r="C63" s="0" t="s">
        <v>66</v>
      </c>
      <c r="D63" s="7" t="s">
        <v>125</v>
      </c>
    </row>
    <row r="64" customFormat="false" ht="15" hidden="false" customHeight="false" outlineLevel="0" collapsed="false">
      <c r="A64" s="11" t="s">
        <v>140</v>
      </c>
    </row>
    <row r="65" customFormat="false" ht="15" hidden="false" customHeight="false" outlineLevel="0" collapsed="false">
      <c r="A65" s="0" t="s">
        <v>141</v>
      </c>
      <c r="B65" s="17" t="n">
        <v>0.16</v>
      </c>
      <c r="C65" s="0" t="s">
        <v>120</v>
      </c>
      <c r="D65" s="7" t="s">
        <v>142</v>
      </c>
    </row>
    <row r="66" customFormat="false" ht="15" hidden="false" customHeight="false" outlineLevel="0" collapsed="false">
      <c r="A66" s="0" t="s">
        <v>143</v>
      </c>
      <c r="B66" s="17" t="n">
        <v>0.13</v>
      </c>
      <c r="C66" s="0" t="s">
        <v>120</v>
      </c>
      <c r="D66" s="7" t="s">
        <v>144</v>
      </c>
    </row>
    <row r="67" customFormat="false" ht="15" hidden="false" customHeight="false" outlineLevel="0" collapsed="false">
      <c r="A67" s="0" t="s">
        <v>145</v>
      </c>
      <c r="B67" s="17" t="n">
        <v>0.3</v>
      </c>
      <c r="C67" s="0" t="s">
        <v>120</v>
      </c>
      <c r="D67" s="7" t="s">
        <v>146</v>
      </c>
    </row>
    <row r="68" customFormat="false" ht="15" hidden="false" customHeight="false" outlineLevel="0" collapsed="false">
      <c r="A68" s="0" t="s">
        <v>147</v>
      </c>
      <c r="B68" s="17" t="n">
        <v>0.305</v>
      </c>
      <c r="C68" s="0" t="s">
        <v>120</v>
      </c>
      <c r="D68" s="7" t="s">
        <v>148</v>
      </c>
    </row>
    <row r="69" customFormat="false" ht="15" hidden="false" customHeight="false" outlineLevel="0" collapsed="false">
      <c r="A69" s="0" t="s">
        <v>149</v>
      </c>
      <c r="B69" s="17" t="n">
        <v>0.1</v>
      </c>
      <c r="C69" s="0" t="s">
        <v>120</v>
      </c>
      <c r="D69" s="7" t="s">
        <v>148</v>
      </c>
    </row>
    <row r="70" customFormat="false" ht="15" hidden="false" customHeight="false" outlineLevel="0" collapsed="false">
      <c r="A70" s="0" t="s">
        <v>150</v>
      </c>
      <c r="B70" s="16" t="n">
        <v>350</v>
      </c>
      <c r="C70" s="0" t="s">
        <v>66</v>
      </c>
      <c r="D70" s="7" t="s">
        <v>151</v>
      </c>
    </row>
    <row r="71" customFormat="false" ht="15" hidden="false" customHeight="false" outlineLevel="0" collapsed="false">
      <c r="A71" s="0" t="s">
        <v>152</v>
      </c>
      <c r="B71" s="17" t="n">
        <v>0.1</v>
      </c>
      <c r="C71" s="0" t="s">
        <v>120</v>
      </c>
      <c r="D71" s="7" t="s">
        <v>148</v>
      </c>
    </row>
    <row r="72" customFormat="false" ht="15" hidden="false" customHeight="false" outlineLevel="0" collapsed="false">
      <c r="A72" s="0" t="s">
        <v>153</v>
      </c>
      <c r="B72" s="17" t="n">
        <v>0.21</v>
      </c>
      <c r="C72" s="0" t="s">
        <v>120</v>
      </c>
      <c r="D72" s="7" t="s">
        <v>154</v>
      </c>
    </row>
    <row r="73" customFormat="false" ht="15" hidden="false" customHeight="false" outlineLevel="0" collapsed="false">
      <c r="A73" s="0" t="s">
        <v>155</v>
      </c>
      <c r="B73" s="17" t="n">
        <v>0.215</v>
      </c>
      <c r="C73" s="0" t="s">
        <v>120</v>
      </c>
      <c r="D73" s="7" t="s">
        <v>148</v>
      </c>
    </row>
    <row r="74" customFormat="false" ht="15" hidden="false" customHeight="false" outlineLevel="0" collapsed="false">
      <c r="A74" s="0" t="s">
        <v>156</v>
      </c>
      <c r="B74" s="17" t="n">
        <v>0.09</v>
      </c>
      <c r="C74" s="0" t="s">
        <v>120</v>
      </c>
      <c r="D74" s="7" t="s">
        <v>148</v>
      </c>
    </row>
    <row r="75" customFormat="false" ht="15" hidden="false" customHeight="false" outlineLevel="0" collapsed="false">
      <c r="A75" s="0" t="s">
        <v>157</v>
      </c>
      <c r="B75" s="17" t="n">
        <v>0.08</v>
      </c>
      <c r="C75" s="0" t="s">
        <v>120</v>
      </c>
      <c r="D75" s="7" t="s">
        <v>148</v>
      </c>
    </row>
    <row r="76" customFormat="false" ht="15" hidden="false" customHeight="false" outlineLevel="0" collapsed="false">
      <c r="A76" s="0" t="s">
        <v>158</v>
      </c>
      <c r="B76" s="17" t="n">
        <v>0.25</v>
      </c>
      <c r="C76" s="0" t="s">
        <v>120</v>
      </c>
      <c r="D76" s="7" t="s">
        <v>159</v>
      </c>
    </row>
    <row r="77" customFormat="false" ht="15" hidden="false" customHeight="false" outlineLevel="0" collapsed="false">
      <c r="A77" s="0" t="s">
        <v>160</v>
      </c>
      <c r="B77" s="17" t="n">
        <v>0.25</v>
      </c>
      <c r="C77" s="0" t="s">
        <v>120</v>
      </c>
      <c r="D77" s="7" t="s">
        <v>148</v>
      </c>
    </row>
    <row r="78" customFormat="false" ht="15" hidden="false" customHeight="false" outlineLevel="0" collapsed="false">
      <c r="A78" s="0" t="s">
        <v>161</v>
      </c>
      <c r="B78" s="16" t="n">
        <v>760</v>
      </c>
      <c r="C78" s="0" t="s">
        <v>66</v>
      </c>
      <c r="D78" s="7" t="s">
        <v>148</v>
      </c>
    </row>
    <row r="79" customFormat="false" ht="15" hidden="false" customHeight="false" outlineLevel="0" collapsed="false">
      <c r="A79" s="0" t="s">
        <v>162</v>
      </c>
      <c r="B79" s="16" t="n">
        <v>790</v>
      </c>
      <c r="C79" s="0" t="s">
        <v>66</v>
      </c>
      <c r="D79" s="7" t="s">
        <v>148</v>
      </c>
    </row>
    <row r="80" customFormat="false" ht="15" hidden="false" customHeight="false" outlineLevel="0" collapsed="false">
      <c r="A80" s="0" t="s">
        <v>163</v>
      </c>
      <c r="B80" s="16" t="n">
        <v>680</v>
      </c>
      <c r="C80" s="0" t="s">
        <v>66</v>
      </c>
      <c r="D80" s="7" t="s">
        <v>164</v>
      </c>
    </row>
    <row r="81" customFormat="false" ht="15" hidden="false" customHeight="false" outlineLevel="0" collapsed="false">
      <c r="A81" s="0" t="s">
        <v>165</v>
      </c>
      <c r="B81" s="16" t="n">
        <v>580</v>
      </c>
      <c r="C81" s="0" t="s">
        <v>66</v>
      </c>
      <c r="D81" s="7" t="s">
        <v>148</v>
      </c>
    </row>
    <row r="82" customFormat="false" ht="23.85" hidden="false" customHeight="false" outlineLevel="0" collapsed="false">
      <c r="A82" s="0" t="s">
        <v>166</v>
      </c>
      <c r="B82" s="18" t="n">
        <v>10</v>
      </c>
      <c r="C82" s="0" t="s">
        <v>61</v>
      </c>
      <c r="D82" s="7" t="s">
        <v>167</v>
      </c>
    </row>
    <row r="83" customFormat="false" ht="23.85" hidden="false" customHeight="false" outlineLevel="0" collapsed="false">
      <c r="A83" s="0" t="s">
        <v>168</v>
      </c>
      <c r="B83" s="19" t="n">
        <v>23</v>
      </c>
      <c r="C83" s="0" t="s">
        <v>169</v>
      </c>
      <c r="D83" s="7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171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172</v>
      </c>
      <c r="B4" s="4" t="s">
        <v>173</v>
      </c>
      <c r="C4" s="4" t="s">
        <v>174</v>
      </c>
      <c r="D4" s="4" t="s">
        <v>175</v>
      </c>
      <c r="E4" s="4" t="s">
        <v>176</v>
      </c>
      <c r="F4" s="4" t="s">
        <v>177</v>
      </c>
    </row>
    <row r="5" customFormat="false" ht="15" hidden="false" customHeight="false" outlineLevel="0" collapsed="false">
      <c r="A5" s="5" t="s">
        <v>178</v>
      </c>
      <c r="B5" s="20" t="n">
        <f aca="false">Assumptions!$B$24</f>
        <v>11436</v>
      </c>
      <c r="C5" s="20" t="n">
        <f aca="false">Assumptions!$B$26</f>
        <v>13276</v>
      </c>
      <c r="D5" s="20" t="n">
        <f aca="false">Assumptions!$B$28+Assumptions!$B$51</f>
        <v>15641</v>
      </c>
      <c r="E5" s="21" t="n">
        <f aca="false">D5*(1+Assumptions!$B$65)</f>
        <v>18143.56</v>
      </c>
      <c r="F5" s="21" t="n">
        <f aca="false">E5*(1+Assumptions!$B$66)</f>
        <v>20502.2228</v>
      </c>
    </row>
    <row r="6" customFormat="false" ht="15" hidden="false" customHeight="false" outlineLevel="0" collapsed="false">
      <c r="A6" s="0" t="s">
        <v>179</v>
      </c>
      <c r="C6" s="22" t="n">
        <f aca="false">IF(B5=0,"n.a.",C5/B5-1)</f>
        <v>0.160895417978314</v>
      </c>
      <c r="D6" s="22" t="n">
        <f aca="false">IF(C5=0,"n.a.",D5/C5-1)</f>
        <v>0.178141006327207</v>
      </c>
      <c r="E6" s="22" t="n">
        <f aca="false">IF(D5=0,"n.a.",E5/D5-1)</f>
        <v>0.16</v>
      </c>
      <c r="F6" s="22" t="n">
        <f aca="false">IF(E5=0,"n.a.",F5/E5-1)</f>
        <v>0.13</v>
      </c>
    </row>
    <row r="7" customFormat="false" ht="15" hidden="false" customHeight="false" outlineLevel="0" collapsed="false">
      <c r="A7" s="0" t="s">
        <v>180</v>
      </c>
      <c r="B7" s="22" t="n">
        <f aca="false">B8/B5</f>
        <v>0.302116124519063</v>
      </c>
      <c r="C7" s="22" t="n">
        <f aca="false">C8/C5</f>
        <v>0.299186501958421</v>
      </c>
      <c r="D7" s="22" t="n">
        <f aca="false">D8/D5</f>
        <v>0.28626366600601</v>
      </c>
      <c r="E7" s="10" t="n">
        <f aca="false">Assumptions!$B$67</f>
        <v>0.3</v>
      </c>
      <c r="F7" s="10" t="n">
        <f aca="false">Assumptions!$B$68</f>
        <v>0.305</v>
      </c>
    </row>
    <row r="8" customFormat="false" ht="15" hidden="false" customHeight="false" outlineLevel="0" collapsed="false">
      <c r="A8" s="0" t="s">
        <v>181</v>
      </c>
      <c r="B8" s="20" t="n">
        <f aca="false">Assumptions!$B$25</f>
        <v>3455</v>
      </c>
      <c r="C8" s="20" t="n">
        <f aca="false">Assumptions!$B$27</f>
        <v>3972</v>
      </c>
      <c r="D8" s="20" t="n">
        <f aca="false">Assumptions!$B$29+Assumptions!$B$51*Assumptions!$B$52</f>
        <v>4477.45</v>
      </c>
      <c r="E8" s="21" t="n">
        <f aca="false">E5*E7</f>
        <v>5443.068</v>
      </c>
      <c r="F8" s="21" t="n">
        <f aca="false">F5*F7</f>
        <v>6253.177954</v>
      </c>
    </row>
    <row r="10" customFormat="false" ht="15" hidden="false" customHeight="false" outlineLevel="0" collapsed="false">
      <c r="A10" s="5" t="s">
        <v>182</v>
      </c>
      <c r="B10" s="20" t="n">
        <f aca="false">Assumptions!$B$30</f>
        <v>6248</v>
      </c>
      <c r="C10" s="20" t="n">
        <f aca="false">Assumptions!$B$32</f>
        <v>6815</v>
      </c>
      <c r="D10" s="20" t="n">
        <f aca="false">Assumptions!$B$34+Assumptions!$B$53</f>
        <v>9363</v>
      </c>
      <c r="E10" s="21" t="n">
        <f aca="false">D10*(1+Assumptions!$B$69)+Assumptions!$B$70</f>
        <v>10649.3</v>
      </c>
      <c r="F10" s="21" t="n">
        <f aca="false">E10*(1+Assumptions!$B$71)</f>
        <v>11714.23</v>
      </c>
    </row>
    <row r="11" customFormat="false" ht="15" hidden="false" customHeight="false" outlineLevel="0" collapsed="false">
      <c r="A11" s="0" t="s">
        <v>179</v>
      </c>
      <c r="C11" s="22" t="n">
        <f aca="false">IF(B10=0,"n.a.",C10/B10-1)</f>
        <v>0.0907490396927018</v>
      </c>
      <c r="D11" s="22" t="n">
        <f aca="false">IF(C10=0,"n.a.",D10/C10-1)</f>
        <v>0.373881144534116</v>
      </c>
      <c r="E11" s="22" t="n">
        <f aca="false">IF(D10=0,"n.a.",E10/D10-1)</f>
        <v>0.137381181245327</v>
      </c>
      <c r="F11" s="22" t="n">
        <f aca="false">IF(E10=0,"n.a.",F10/E10-1)</f>
        <v>0.1</v>
      </c>
    </row>
    <row r="12" customFormat="false" ht="15" hidden="false" customHeight="false" outlineLevel="0" collapsed="false">
      <c r="A12" s="0" t="s">
        <v>180</v>
      </c>
      <c r="B12" s="22" t="n">
        <f aca="false">B13/B10</f>
        <v>0.183898847631242</v>
      </c>
      <c r="C12" s="22" t="n">
        <f aca="false">C13/C10</f>
        <v>0.194130594277329</v>
      </c>
      <c r="D12" s="22" t="n">
        <f aca="false">D13/D10</f>
        <v>0.203140019224608</v>
      </c>
      <c r="E12" s="10" t="n">
        <f aca="false">Assumptions!$B$72</f>
        <v>0.21</v>
      </c>
      <c r="F12" s="10" t="n">
        <f aca="false">Assumptions!$B$73</f>
        <v>0.215</v>
      </c>
    </row>
    <row r="13" customFormat="false" ht="15" hidden="false" customHeight="false" outlineLevel="0" collapsed="false">
      <c r="A13" s="0" t="s">
        <v>181</v>
      </c>
      <c r="B13" s="20" t="n">
        <f aca="false">Assumptions!$B$31</f>
        <v>1149</v>
      </c>
      <c r="C13" s="20" t="n">
        <f aca="false">Assumptions!$B$33</f>
        <v>1323</v>
      </c>
      <c r="D13" s="20" t="n">
        <f aca="false">Assumptions!$B$35+Assumptions!$B$53*Assumptions!$B$54</f>
        <v>1902</v>
      </c>
      <c r="E13" s="21" t="n">
        <f aca="false">E10*E12</f>
        <v>2236.353</v>
      </c>
      <c r="F13" s="21" t="n">
        <f aca="false">F10*F12</f>
        <v>2518.55945</v>
      </c>
    </row>
    <row r="15" customFormat="false" ht="15" hidden="false" customHeight="false" outlineLevel="0" collapsed="false">
      <c r="A15" s="5" t="s">
        <v>183</v>
      </c>
      <c r="B15" s="20" t="n">
        <f aca="false">Assumptions!$B$36</f>
        <v>3744</v>
      </c>
      <c r="C15" s="20" t="n">
        <f aca="false">Assumptions!$B$38</f>
        <v>4249</v>
      </c>
      <c r="D15" s="20" t="n">
        <f aca="false">Assumptions!$B$40+Assumptions!$B$55</f>
        <v>4847</v>
      </c>
      <c r="E15" s="21" t="n">
        <f aca="false">D15*(1+Assumptions!$B$74)</f>
        <v>5283.23</v>
      </c>
      <c r="F15" s="21" t="n">
        <f aca="false">E15*(1+Assumptions!$B$75)</f>
        <v>5705.8884</v>
      </c>
    </row>
    <row r="16" customFormat="false" ht="15" hidden="false" customHeight="false" outlineLevel="0" collapsed="false">
      <c r="A16" s="0" t="s">
        <v>179</v>
      </c>
      <c r="C16" s="22" t="n">
        <f aca="false">IF(B15=0,"n.a.",C15/B15-1)</f>
        <v>0.134882478632479</v>
      </c>
      <c r="D16" s="22" t="n">
        <f aca="false">IF(C15=0,"n.a.",D15/C15-1)</f>
        <v>0.140738997411155</v>
      </c>
      <c r="E16" s="22" t="n">
        <f aca="false">IF(D15=0,"n.a.",E15/D15-1)</f>
        <v>0.0900000000000001</v>
      </c>
      <c r="F16" s="22" t="n">
        <f aca="false">IF(E15=0,"n.a.",F15/E15-1)</f>
        <v>0.0800000000000001</v>
      </c>
    </row>
    <row r="17" customFormat="false" ht="15" hidden="false" customHeight="false" outlineLevel="0" collapsed="false">
      <c r="A17" s="0" t="s">
        <v>180</v>
      </c>
      <c r="B17" s="22" t="n">
        <f aca="false">B18/B15</f>
        <v>0.229433760683761</v>
      </c>
      <c r="C17" s="22" t="n">
        <f aca="false">C18/C15</f>
        <v>0.23840903742057</v>
      </c>
      <c r="D17" s="22" t="n">
        <f aca="false">D18/D15</f>
        <v>0.248246337940994</v>
      </c>
      <c r="E17" s="10" t="n">
        <f aca="false">Assumptions!$B$76</f>
        <v>0.25</v>
      </c>
      <c r="F17" s="10" t="n">
        <f aca="false">Assumptions!$B$77</f>
        <v>0.25</v>
      </c>
    </row>
    <row r="18" customFormat="false" ht="15" hidden="false" customHeight="false" outlineLevel="0" collapsed="false">
      <c r="A18" s="0" t="s">
        <v>181</v>
      </c>
      <c r="B18" s="20" t="n">
        <f aca="false">Assumptions!$B$37</f>
        <v>859</v>
      </c>
      <c r="C18" s="20" t="n">
        <f aca="false">Assumptions!$B$39</f>
        <v>1013</v>
      </c>
      <c r="D18" s="20" t="n">
        <f aca="false">Assumptions!$B$41+Assumptions!$B$55*Assumptions!$B$56</f>
        <v>1203.25</v>
      </c>
      <c r="E18" s="21" t="n">
        <f aca="false">E15*E17</f>
        <v>1320.8075</v>
      </c>
      <c r="F18" s="21" t="n">
        <f aca="false">F15*F17</f>
        <v>1426.4721</v>
      </c>
    </row>
    <row r="20" customFormat="false" ht="15" hidden="false" customHeight="false" outlineLevel="0" collapsed="false">
      <c r="A20" s="5" t="s">
        <v>184</v>
      </c>
      <c r="B20" s="20" t="n">
        <f aca="false">Assumptions!$B$42</f>
        <v>3452</v>
      </c>
      <c r="C20" s="20" t="n">
        <f aca="false">Assumptions!$B$44</f>
        <v>3109</v>
      </c>
      <c r="D20" s="20" t="n">
        <f aca="false">Assumptions!$B$46+Assumptions!$B$57</f>
        <v>3147</v>
      </c>
      <c r="E20" s="21" t="n">
        <v>0</v>
      </c>
      <c r="F20" s="21" t="n">
        <v>0</v>
      </c>
    </row>
    <row r="21" customFormat="false" ht="15" hidden="false" customHeight="false" outlineLevel="0" collapsed="false">
      <c r="A21" s="0" t="s">
        <v>179</v>
      </c>
      <c r="C21" s="22" t="n">
        <f aca="false">IF(B20=0,"n.a.",C20/B20-1)</f>
        <v>-0.0993626882966396</v>
      </c>
      <c r="D21" s="22" t="n">
        <f aca="false">IF(C20=0,"n.a.",D20/C20-1)</f>
        <v>0.0122225796075908</v>
      </c>
      <c r="E21" s="22" t="n">
        <f aca="false">IF(D20=0,"n.a.",E20/D20-1)</f>
        <v>-1</v>
      </c>
      <c r="F21" s="22" t="str">
        <f aca="false">IF(E20=0,"n.a.",F20/E20-1)</f>
        <v>n.a.</v>
      </c>
    </row>
    <row r="22" customFormat="false" ht="15" hidden="false" customHeight="false" outlineLevel="0" collapsed="false">
      <c r="A22" s="0" t="s">
        <v>180</v>
      </c>
      <c r="B22" s="22" t="n">
        <f aca="false">B23/B20</f>
        <v>0.143395133256083</v>
      </c>
      <c r="C22" s="22" t="n">
        <f aca="false">C23/C20</f>
        <v>0.130266966870376</v>
      </c>
      <c r="D22" s="22" t="n">
        <f aca="false">D23/D20</f>
        <v>0.126533206228154</v>
      </c>
    </row>
    <row r="23" customFormat="false" ht="15" hidden="false" customHeight="false" outlineLevel="0" collapsed="false">
      <c r="A23" s="0" t="s">
        <v>181</v>
      </c>
      <c r="B23" s="20" t="n">
        <f aca="false">Assumptions!$B$43</f>
        <v>495</v>
      </c>
      <c r="C23" s="20" t="n">
        <f aca="false">Assumptions!$B$45</f>
        <v>405</v>
      </c>
      <c r="D23" s="20" t="n">
        <f aca="false">Assumptions!$B$47+Assumptions!$B$57*Assumptions!$B$58</f>
        <v>398.2</v>
      </c>
      <c r="E23" s="21" t="n">
        <v>0</v>
      </c>
      <c r="F23" s="21" t="n">
        <v>0</v>
      </c>
    </row>
    <row r="25" customFormat="false" ht="15" hidden="false" customHeight="false" outlineLevel="0" collapsed="false">
      <c r="A25" s="5" t="s">
        <v>185</v>
      </c>
      <c r="B25" s="21" t="n">
        <f aca="false">B5+B10+B15+B20</f>
        <v>24880</v>
      </c>
      <c r="C25" s="21" t="n">
        <f aca="false">C5+C10+C15+C20</f>
        <v>27449</v>
      </c>
      <c r="D25" s="21" t="n">
        <f aca="false">D5+D10+D15+D20</f>
        <v>32998</v>
      </c>
      <c r="E25" s="21" t="n">
        <f aca="false">E5+E10+E15+E20</f>
        <v>34076.09</v>
      </c>
      <c r="F25" s="21" t="n">
        <f aca="false">F5+F10+F15+F20</f>
        <v>37922.3412</v>
      </c>
    </row>
    <row r="26" customFormat="false" ht="15" hidden="false" customHeight="false" outlineLevel="0" collapsed="false">
      <c r="A26" s="5" t="s">
        <v>186</v>
      </c>
      <c r="B26" s="21" t="n">
        <f aca="false">B8+B13+B18+B23</f>
        <v>5958</v>
      </c>
      <c r="C26" s="21" t="n">
        <f aca="false">C8+C13+C18+C23</f>
        <v>6713</v>
      </c>
      <c r="D26" s="21" t="n">
        <f aca="false">D8+D13+D18+D23</f>
        <v>7980.9</v>
      </c>
      <c r="E26" s="21" t="n">
        <f aca="false">E8+E13+E18+E23</f>
        <v>9000.2285</v>
      </c>
      <c r="F26" s="21" t="n">
        <f aca="false">F8+F13+F18+F23</f>
        <v>10198.209504</v>
      </c>
    </row>
    <row r="27" customFormat="false" ht="15" hidden="false" customHeight="false" outlineLevel="0" collapsed="false">
      <c r="A27" s="5" t="s">
        <v>187</v>
      </c>
      <c r="B27" s="22" t="n">
        <f aca="false">B26/B25</f>
        <v>0.239469453376206</v>
      </c>
      <c r="C27" s="22" t="n">
        <f aca="false">C26/C25</f>
        <v>0.244562643447849</v>
      </c>
      <c r="D27" s="22" t="n">
        <f aca="false">D26/D25</f>
        <v>0.241860112734105</v>
      </c>
      <c r="E27" s="22" t="n">
        <f aca="false">E26/E25</f>
        <v>0.264121514528222</v>
      </c>
      <c r="F27" s="22" t="n">
        <f aca="false">F26/F25</f>
        <v>0.268923520576309</v>
      </c>
    </row>
    <row r="29" customFormat="false" ht="15" hidden="false" customHeight="false" outlineLevel="0" collapsed="false">
      <c r="A29" s="12" t="s">
        <v>188</v>
      </c>
    </row>
    <row r="30" customFormat="false" ht="15" hidden="false" customHeight="false" outlineLevel="0" collapsed="false">
      <c r="A30" s="12" t="s">
        <v>189</v>
      </c>
    </row>
    <row r="31" customFormat="false" ht="15" hidden="false" customHeight="false" outlineLevel="0" collapsed="false">
      <c r="A31" s="12" t="s">
        <v>190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191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173</v>
      </c>
      <c r="C4" s="4" t="s">
        <v>174</v>
      </c>
      <c r="D4" s="4" t="s">
        <v>175</v>
      </c>
      <c r="E4" s="4" t="s">
        <v>176</v>
      </c>
      <c r="F4" s="4" t="s">
        <v>177</v>
      </c>
    </row>
    <row r="5" customFormat="false" ht="15" hidden="false" customHeight="false" outlineLevel="0" collapsed="false">
      <c r="A5" s="5" t="s">
        <v>192</v>
      </c>
      <c r="D5" s="20" t="n">
        <f aca="false">Segments!D26</f>
        <v>7980.9</v>
      </c>
      <c r="E5" s="20" t="n">
        <f aca="false">Segments!E26</f>
        <v>9000.2285</v>
      </c>
      <c r="F5" s="20" t="n">
        <f aca="false">Segments!F26</f>
        <v>10198.209504</v>
      </c>
    </row>
    <row r="6" customFormat="false" ht="15" hidden="false" customHeight="false" outlineLevel="0" collapsed="false">
      <c r="A6" s="23" t="s">
        <v>193</v>
      </c>
      <c r="D6" s="20" t="n">
        <f aca="false">-Assumptions!$B$59</f>
        <v>-790</v>
      </c>
      <c r="E6" s="20" t="n">
        <f aca="false">-Assumptions!$B$78</f>
        <v>-760</v>
      </c>
      <c r="F6" s="20" t="n">
        <f aca="false">-Assumptions!$B$79</f>
        <v>-790</v>
      </c>
    </row>
    <row r="7" customFormat="false" ht="15" hidden="false" customHeight="false" outlineLevel="0" collapsed="false">
      <c r="A7" s="23" t="s">
        <v>194</v>
      </c>
      <c r="D7" s="20" t="n">
        <f aca="false">-Assumptions!$B$60</f>
        <v>-710</v>
      </c>
      <c r="E7" s="20" t="n">
        <f aca="false">-Assumptions!$B$80</f>
        <v>-680</v>
      </c>
      <c r="F7" s="20" t="n">
        <f aca="false">-Assumptions!$B$81</f>
        <v>-580</v>
      </c>
    </row>
    <row r="8" customFormat="false" ht="15" hidden="false" customHeight="false" outlineLevel="0" collapsed="false">
      <c r="A8" s="23" t="s">
        <v>136</v>
      </c>
      <c r="D8" s="20" t="n">
        <f aca="false">Assumptions!$B$61</f>
        <v>10</v>
      </c>
      <c r="E8" s="20" t="n">
        <f aca="false">Assumptions!$B$61</f>
        <v>10</v>
      </c>
      <c r="F8" s="20" t="n">
        <f aca="false">Assumptions!$B$61</f>
        <v>10</v>
      </c>
    </row>
    <row r="9" customFormat="false" ht="15" hidden="false" customHeight="false" outlineLevel="0" collapsed="false">
      <c r="A9" s="5" t="s">
        <v>195</v>
      </c>
      <c r="D9" s="21" t="n">
        <f aca="false">SUM(D5:D8)</f>
        <v>6490.9</v>
      </c>
      <c r="E9" s="21" t="n">
        <f aca="false">SUM(E5:E8)</f>
        <v>7570.2285</v>
      </c>
      <c r="F9" s="21" t="n">
        <f aca="false">SUM(F5:F8)</f>
        <v>8838.209504</v>
      </c>
    </row>
    <row r="10" customFormat="false" ht="15" hidden="false" customHeight="false" outlineLevel="0" collapsed="false">
      <c r="A10" s="23" t="s">
        <v>196</v>
      </c>
      <c r="D10" s="20" t="n">
        <f aca="false">-D9*Assumptions!$B$62</f>
        <v>-1233.271</v>
      </c>
      <c r="E10" s="20" t="n">
        <f aca="false">-E9*Assumptions!$B$62</f>
        <v>-1438.343415</v>
      </c>
      <c r="F10" s="20" t="n">
        <f aca="false">-F9*Assumptions!$B$62</f>
        <v>-1679.25980576</v>
      </c>
    </row>
    <row r="11" customFormat="false" ht="15" hidden="false" customHeight="false" outlineLevel="0" collapsed="false">
      <c r="A11" s="23" t="s">
        <v>197</v>
      </c>
      <c r="D11" s="20" t="n">
        <f aca="false">-Assumptions!$B$63</f>
        <v>-5</v>
      </c>
      <c r="E11" s="20" t="n">
        <f aca="false">-Assumptions!$B$63</f>
        <v>-5</v>
      </c>
      <c r="F11" s="20" t="n">
        <f aca="false">-Assumptions!$B$63</f>
        <v>-5</v>
      </c>
    </row>
    <row r="12" customFormat="false" ht="15" hidden="false" customHeight="false" outlineLevel="0" collapsed="false">
      <c r="A12" s="5" t="s">
        <v>198</v>
      </c>
      <c r="D12" s="21" t="n">
        <f aca="false">SUM(D9:D11)</f>
        <v>5252.629</v>
      </c>
      <c r="E12" s="21" t="n">
        <f aca="false">SUM(E9:E11)</f>
        <v>6126.885085</v>
      </c>
      <c r="F12" s="21" t="n">
        <f aca="false">SUM(F9:F11)</f>
        <v>7153.94969824</v>
      </c>
    </row>
    <row r="13" customFormat="false" ht="15" hidden="false" customHeight="false" outlineLevel="0" collapsed="false">
      <c r="A13" s="23" t="s">
        <v>199</v>
      </c>
      <c r="D13" s="24" t="n">
        <f aca="false">Assumptions!$B$11</f>
        <v>389.5</v>
      </c>
      <c r="E13" s="24" t="n">
        <f aca="false">Assumptions!$B$11-Assumptions!$B$82</f>
        <v>379.5</v>
      </c>
      <c r="F13" s="24" t="n">
        <f aca="false">Assumptions!$B$11-Assumptions!$B$82</f>
        <v>379.5</v>
      </c>
    </row>
    <row r="14" customFormat="false" ht="15" hidden="false" customHeight="false" outlineLevel="0" collapsed="false">
      <c r="A14" s="5" t="s">
        <v>200</v>
      </c>
      <c r="B14" s="9" t="n">
        <f aca="false">Assumptions!$B$18</f>
        <v>10.8</v>
      </c>
      <c r="C14" s="9" t="n">
        <f aca="false">Assumptions!$B$19</f>
        <v>12.07</v>
      </c>
      <c r="D14" s="25" t="n">
        <f aca="false">D12/D13</f>
        <v>13.485568677792</v>
      </c>
      <c r="E14" s="25" t="n">
        <f aca="false">E12/E13</f>
        <v>16.1446247299078</v>
      </c>
      <c r="F14" s="25" t="n">
        <f aca="false">F12/F13</f>
        <v>18.850987347141</v>
      </c>
    </row>
    <row r="15" customFormat="false" ht="15" hidden="false" customHeight="false" outlineLevel="0" collapsed="false">
      <c r="A15" s="23" t="s">
        <v>201</v>
      </c>
      <c r="C15" s="22" t="n">
        <f aca="false">C14/B14-1</f>
        <v>0.117592592592592</v>
      </c>
      <c r="D15" s="22" t="n">
        <f aca="false">D14/C14-1</f>
        <v>0.117279923595032</v>
      </c>
      <c r="E15" s="22" t="n">
        <f aca="false">E14/D14-1</f>
        <v>0.197177895545084</v>
      </c>
      <c r="F15" s="22" t="n">
        <f aca="false">F14/E14-1</f>
        <v>0.167632426427335</v>
      </c>
    </row>
    <row r="16" customFormat="false" ht="15" hidden="false" customHeight="false" outlineLevel="0" collapsed="false">
      <c r="A16" s="23" t="s">
        <v>202</v>
      </c>
      <c r="D16" s="26" t="n">
        <f aca="false">(Assumptions!$B$16+Assumptions!$B$17)/2</f>
        <v>13.5</v>
      </c>
      <c r="E16" s="9" t="n">
        <f aca="false">Assumptions!$B$21</f>
        <v>16.3</v>
      </c>
    </row>
    <row r="17" customFormat="false" ht="15" hidden="false" customHeight="false" outlineLevel="0" collapsed="false">
      <c r="A17" s="23" t="s">
        <v>203</v>
      </c>
      <c r="D17" s="22" t="n">
        <f aca="false">D14/D16-1</f>
        <v>-0.00106898683021928</v>
      </c>
      <c r="E17" s="22" t="n">
        <f aca="false">E14/E16-1</f>
        <v>-0.0095322251590324</v>
      </c>
    </row>
    <row r="19" customFormat="false" ht="15" hidden="false" customHeight="false" outlineLevel="0" collapsed="false">
      <c r="A19" s="12" t="s">
        <v>204</v>
      </c>
    </row>
    <row r="20" customFormat="false" ht="15" hidden="false" customHeight="false" outlineLevel="0" collapsed="false">
      <c r="A20" s="12" t="s">
        <v>205</v>
      </c>
    </row>
    <row r="21" customFormat="false" ht="15" hidden="false" customHeight="false" outlineLevel="0" collapsed="false">
      <c r="A21" s="12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207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208</v>
      </c>
    </row>
    <row r="5" customFormat="false" ht="15" hidden="false" customHeight="false" outlineLevel="0" collapsed="false">
      <c r="A5" s="0" t="s">
        <v>19</v>
      </c>
      <c r="B5" s="9" t="n">
        <f aca="false">EPS!F14</f>
        <v>18.850987347141</v>
      </c>
      <c r="C5" s="7" t="s">
        <v>209</v>
      </c>
    </row>
    <row r="6" customFormat="false" ht="15" hidden="false" customHeight="false" outlineLevel="0" collapsed="false">
      <c r="A6" s="0" t="s">
        <v>210</v>
      </c>
      <c r="B6" s="27" t="n">
        <f aca="false">Assumptions!$B$83</f>
        <v>23</v>
      </c>
      <c r="C6" s="7" t="s">
        <v>211</v>
      </c>
    </row>
    <row r="7" customFormat="false" ht="15" hidden="false" customHeight="false" outlineLevel="0" collapsed="false">
      <c r="A7" s="5" t="s">
        <v>212</v>
      </c>
      <c r="B7" s="25" t="n">
        <f aca="false">B5*B6</f>
        <v>433.572708984242</v>
      </c>
      <c r="C7" s="7"/>
    </row>
    <row r="8" customFormat="false" ht="15" hidden="false" customHeight="false" outlineLevel="0" collapsed="false">
      <c r="A8" s="0" t="s">
        <v>14</v>
      </c>
      <c r="B8" s="9" t="n">
        <f aca="false">Assumptions!$B$7</f>
        <v>366.11</v>
      </c>
      <c r="C8" s="7" t="s">
        <v>15</v>
      </c>
    </row>
    <row r="9" customFormat="false" ht="15" hidden="false" customHeight="false" outlineLevel="0" collapsed="false">
      <c r="A9" s="0" t="s">
        <v>16</v>
      </c>
      <c r="B9" s="22" t="n">
        <f aca="false">B7/B8-1</f>
        <v>0.184268960105549</v>
      </c>
      <c r="C9" s="7" t="s">
        <v>213</v>
      </c>
    </row>
    <row r="10" customFormat="false" ht="15" hidden="false" customHeight="false" outlineLevel="0" collapsed="false">
      <c r="A10" s="5" t="s">
        <v>214</v>
      </c>
      <c r="B10" s="28" t="str">
        <f aca="false">IF(B9&gt;=0.15,"LONG",IF(B9&lt;=-0.25,"SHORT","NO CALL"))</f>
        <v>LONG</v>
      </c>
      <c r="C10" s="7" t="s">
        <v>215</v>
      </c>
    </row>
    <row r="11" customFormat="false" ht="15" hidden="false" customHeight="false" outlineLevel="0" collapsed="false">
      <c r="A11" s="0" t="s">
        <v>216</v>
      </c>
      <c r="B11" s="29" t="n">
        <v>430</v>
      </c>
      <c r="C11" s="7" t="s">
        <v>217</v>
      </c>
    </row>
    <row r="12" customFormat="false" ht="15" hidden="false" customHeight="false" outlineLevel="0" collapsed="false">
      <c r="A12" s="0" t="s">
        <v>218</v>
      </c>
      <c r="B12" s="22" t="n">
        <f aca="false">IF(B11="","",B11/B8-1)</f>
        <v>0.174510393051269</v>
      </c>
      <c r="C12" s="7"/>
    </row>
    <row r="14" customFormat="false" ht="15" hidden="false" customHeight="false" outlineLevel="0" collapsed="false">
      <c r="A14" s="0" t="s">
        <v>219</v>
      </c>
      <c r="B14" s="24" t="n">
        <f aca="false">Assumptions!$B$10*B8/1000</f>
        <v>142.197124</v>
      </c>
      <c r="C14" s="7" t="s">
        <v>220</v>
      </c>
    </row>
    <row r="15" customFormat="false" ht="15" hidden="false" customHeight="false" outlineLevel="0" collapsed="false">
      <c r="A15" s="0" t="s">
        <v>221</v>
      </c>
      <c r="B15" s="20" t="n">
        <f aca="false">Assumptions!$B$13-Assumptions!$B$12</f>
        <v>19916</v>
      </c>
      <c r="C15" s="7"/>
    </row>
    <row r="16" customFormat="false" ht="15" hidden="false" customHeight="false" outlineLevel="0" collapsed="false">
      <c r="A16" s="0" t="s">
        <v>222</v>
      </c>
      <c r="B16" s="30" t="n">
        <f aca="false">B14+(B15+Assumptions!$B$14)/1000</f>
        <v>162.158124</v>
      </c>
      <c r="C16" s="7" t="s">
        <v>223</v>
      </c>
    </row>
    <row r="17" customFormat="false" ht="15" hidden="false" customHeight="false" outlineLevel="0" collapsed="false">
      <c r="A17" s="0" t="s">
        <v>224</v>
      </c>
      <c r="B17" s="31" t="n">
        <f aca="false">B8/EPS!D16</f>
        <v>27.1192592592593</v>
      </c>
      <c r="C17" s="7"/>
    </row>
    <row r="18" customFormat="false" ht="15" hidden="false" customHeight="false" outlineLevel="0" collapsed="false">
      <c r="A18" s="0" t="s">
        <v>225</v>
      </c>
      <c r="B18" s="31" t="n">
        <f aca="false">B8/EPS!D14</f>
        <v>27.1482804134844</v>
      </c>
      <c r="C18" s="7"/>
    </row>
    <row r="19" customFormat="false" ht="15" hidden="false" customHeight="false" outlineLevel="0" collapsed="false">
      <c r="A19" s="0" t="s">
        <v>226</v>
      </c>
      <c r="B19" s="31" t="n">
        <f aca="false">B8/Assumptions!$B$21</f>
        <v>22.460736196319</v>
      </c>
      <c r="C19" s="7" t="s">
        <v>227</v>
      </c>
    </row>
    <row r="20" customFormat="false" ht="15" hidden="false" customHeight="false" outlineLevel="0" collapsed="false">
      <c r="A20" s="0" t="s">
        <v>228</v>
      </c>
      <c r="B20" s="31" t="n">
        <f aca="false">B8/EPS!E14</f>
        <v>22.6768974890934</v>
      </c>
      <c r="C20" s="7"/>
    </row>
    <row r="21" customFormat="false" ht="15" hidden="false" customHeight="false" outlineLevel="0" collapsed="false">
      <c r="A21" s="0" t="s">
        <v>229</v>
      </c>
      <c r="B21" s="31" t="n">
        <f aca="false">B8/EPS!F14</f>
        <v>19.4212638976454</v>
      </c>
      <c r="C21" s="7"/>
    </row>
    <row r="22" customFormat="false" ht="15" hidden="false" customHeight="false" outlineLevel="0" collapsed="false">
      <c r="A22" s="0" t="s">
        <v>230</v>
      </c>
      <c r="B22" s="27" t="n">
        <f aca="false">Assumptions!$B$8/EPS!D16</f>
        <v>34.0711111111111</v>
      </c>
      <c r="C22" s="7" t="s">
        <v>231</v>
      </c>
    </row>
    <row r="23" customFormat="false" ht="15" hidden="false" customHeight="false" outlineLevel="0" collapsed="false">
      <c r="A23" s="0" t="s">
        <v>232</v>
      </c>
      <c r="B23" s="31" t="n">
        <f aca="false">B8*1.15/B5</f>
        <v>22.3344534822923</v>
      </c>
      <c r="C23" s="7"/>
    </row>
    <row r="24" customFormat="false" ht="15" hidden="false" customHeight="false" outlineLevel="0" collapsed="false">
      <c r="A24" s="0" t="s">
        <v>233</v>
      </c>
      <c r="B24" s="26" t="n">
        <f aca="false">B7/1.15</f>
        <v>377.01974694282</v>
      </c>
      <c r="C24" s="7"/>
    </row>
    <row r="25" customFormat="false" ht="15" hidden="false" customHeight="false" outlineLevel="0" collapsed="false">
      <c r="A25" s="0" t="s">
        <v>234</v>
      </c>
      <c r="B25" s="26" t="n">
        <f aca="false">B7/0.75</f>
        <v>578.096945312323</v>
      </c>
      <c r="C25" s="7"/>
    </row>
    <row r="26" customFormat="false" ht="15" hidden="false" customHeight="false" outlineLevel="0" collapsed="false">
      <c r="A26" s="0" t="s">
        <v>235</v>
      </c>
      <c r="B26" s="22" t="n">
        <f aca="false">B8/Assumptions!$B$8-1</f>
        <v>-0.20403948169406</v>
      </c>
      <c r="C26" s="7"/>
    </row>
    <row r="27" customFormat="false" ht="15" hidden="false" customHeight="false" outlineLevel="0" collapsed="false">
      <c r="A27" s="0" t="s">
        <v>236</v>
      </c>
      <c r="B27" s="22" t="n">
        <f aca="false">B8/Assumptions!$B$9-1</f>
        <v>0.149445857272927</v>
      </c>
      <c r="C27" s="7"/>
    </row>
    <row r="28" customFormat="false" ht="15" hidden="false" customHeight="false" outlineLevel="0" collapsed="false">
      <c r="A28" s="0" t="s">
        <v>237</v>
      </c>
      <c r="B28" s="10" t="n">
        <f aca="false">Assumptions!$B$22/B8-1</f>
        <v>0.326022233754882</v>
      </c>
      <c r="C28" s="7" t="s">
        <v>238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11"/>
    <col collapsed="false" customWidth="true" hidden="false" outlineLevel="0" max="7" min="6" style="0" width="12"/>
    <col collapsed="false" customWidth="true" hidden="false" outlineLevel="0" max="8" min="8" style="0" width="10"/>
    <col collapsed="false" customWidth="true" hidden="false" outlineLevel="0" max="13" min="9" style="0" width="12"/>
    <col collapsed="false" customWidth="true" hidden="false" outlineLevel="0" max="14" min="14" style="0" width="11"/>
  </cols>
  <sheetData>
    <row r="1" customFormat="false" ht="15" hidden="false" customHeight="false" outlineLevel="0" collapsed="false">
      <c r="A1" s="1" t="s">
        <v>239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240</v>
      </c>
      <c r="B4" s="4" t="s">
        <v>241</v>
      </c>
      <c r="C4" s="4" t="s">
        <v>242</v>
      </c>
      <c r="D4" s="4" t="s">
        <v>243</v>
      </c>
      <c r="E4" s="4" t="s">
        <v>244</v>
      </c>
      <c r="F4" s="4" t="s">
        <v>245</v>
      </c>
      <c r="G4" s="4" t="s">
        <v>246</v>
      </c>
      <c r="H4" s="4" t="s">
        <v>247</v>
      </c>
      <c r="I4" s="4" t="s">
        <v>248</v>
      </c>
      <c r="J4" s="4" t="s">
        <v>249</v>
      </c>
      <c r="K4" s="4" t="s">
        <v>250</v>
      </c>
      <c r="L4" s="4" t="s">
        <v>251</v>
      </c>
      <c r="M4" s="4" t="s">
        <v>252</v>
      </c>
      <c r="N4" s="4" t="s">
        <v>253</v>
      </c>
    </row>
    <row r="5" customFormat="false" ht="15" hidden="false" customHeight="false" outlineLevel="0" collapsed="false">
      <c r="A5" s="5" t="s">
        <v>254</v>
      </c>
      <c r="B5" s="17" t="n">
        <v>0.08</v>
      </c>
      <c r="C5" s="17" t="n">
        <v>0.04</v>
      </c>
      <c r="D5" s="17" t="n">
        <v>0.285</v>
      </c>
      <c r="E5" s="17" t="n">
        <v>0.275</v>
      </c>
      <c r="F5" s="17" t="n">
        <v>-0.03</v>
      </c>
      <c r="G5" s="17" t="n">
        <v>-0.01</v>
      </c>
      <c r="H5" s="19" t="n">
        <v>18</v>
      </c>
      <c r="I5" s="32" t="n">
        <f aca="false">Segments!$D$5*(1+B5)*(1+C5)</f>
        <v>17567.9712</v>
      </c>
      <c r="J5" s="32" t="n">
        <f aca="false">(Segments!$D$10*(1+Assumptions!$B$69+F5)+Assumptions!$B$70)*(1+Assumptions!$B$71+F5)+Segments!$D$15*(1+Assumptions!$B$74+F5)*(1+Assumptions!$B$75+F5)</f>
        <v>16488.9097</v>
      </c>
      <c r="K5" s="32" t="n">
        <f aca="false">I5*E5+(Segments!$D$10*(1+Assumptions!$B$69+F5)+Assumptions!$B$70)*(1+Assumptions!$B$71+F5)*(Assumptions!$B$73+G5)+Segments!$D$15*(1+Assumptions!$B$74+F5)*(1+Assumptions!$B$75+F5)*(Assumptions!$B$77+G5)</f>
        <v>8400.2334535</v>
      </c>
      <c r="L5" s="33" t="n">
        <f aca="false">((K5-Assumptions!$B$79-Assumptions!$B$81+Assumptions!$B$61)*(1-Assumptions!$B$62)-Assumptions!$B$63)/(Assumptions!$B$11-Assumptions!$B$82)</f>
        <v>15.0134100061528</v>
      </c>
      <c r="M5" s="33" t="n">
        <f aca="false">L5*H5</f>
        <v>270.241380110751</v>
      </c>
      <c r="N5" s="34" t="n">
        <f aca="false">M5/Assumptions!$B$7-1</f>
        <v>-0.261857419598615</v>
      </c>
    </row>
    <row r="6" customFormat="false" ht="15" hidden="false" customHeight="false" outlineLevel="0" collapsed="false">
      <c r="A6" s="5" t="s">
        <v>255</v>
      </c>
      <c r="B6" s="35" t="n">
        <f aca="false">Assumptions!$B$65</f>
        <v>0.16</v>
      </c>
      <c r="C6" s="35" t="n">
        <f aca="false">Assumptions!$B$66</f>
        <v>0.13</v>
      </c>
      <c r="D6" s="35" t="n">
        <f aca="false">Assumptions!$B$67</f>
        <v>0.3</v>
      </c>
      <c r="E6" s="35" t="n">
        <f aca="false">Assumptions!$B$68</f>
        <v>0.305</v>
      </c>
      <c r="F6" s="17" t="n">
        <v>0</v>
      </c>
      <c r="G6" s="17" t="n">
        <v>0</v>
      </c>
      <c r="H6" s="36" t="n">
        <f aca="false">Assumptions!$B$83</f>
        <v>23</v>
      </c>
      <c r="I6" s="32" t="n">
        <f aca="false">Segments!$D$5*(1+B6)*(1+C6)</f>
        <v>20502.2228</v>
      </c>
      <c r="J6" s="32" t="n">
        <f aca="false">(Segments!$D$10*(1+Assumptions!$B$69+F6)+Assumptions!$B$70)*(1+Assumptions!$B$71+F6)+Segments!$D$15*(1+Assumptions!$B$74+F6)*(1+Assumptions!$B$75+F6)</f>
        <v>17420.1184</v>
      </c>
      <c r="K6" s="32" t="n">
        <f aca="false">I6*E6+(Segments!$D$10*(1+Assumptions!$B$69+F6)+Assumptions!$B$70)*(1+Assumptions!$B$71+F6)*(Assumptions!$B$73+G6)+Segments!$D$15*(1+Assumptions!$B$74+F6)*(1+Assumptions!$B$75+F6)*(Assumptions!$B$77+G6)</f>
        <v>10198.209504</v>
      </c>
      <c r="L6" s="33" t="n">
        <f aca="false">((K6-Assumptions!$B$79-Assumptions!$B$81+Assumptions!$B$61)*(1-Assumptions!$B$62)-Assumptions!$B$63)/(Assumptions!$B$11-Assumptions!$B$82)</f>
        <v>18.850987347141</v>
      </c>
      <c r="M6" s="33" t="n">
        <f aca="false">L6*H6</f>
        <v>433.572708984242</v>
      </c>
      <c r="N6" s="34" t="n">
        <f aca="false">M6/Assumptions!$B$7-1</f>
        <v>0.184268960105549</v>
      </c>
    </row>
    <row r="7" customFormat="false" ht="15" hidden="false" customHeight="false" outlineLevel="0" collapsed="false">
      <c r="A7" s="5" t="s">
        <v>256</v>
      </c>
      <c r="B7" s="17" t="n">
        <v>0.19</v>
      </c>
      <c r="C7" s="17" t="n">
        <v>0.16</v>
      </c>
      <c r="D7" s="17" t="n">
        <v>0.305</v>
      </c>
      <c r="E7" s="17" t="n">
        <v>0.315</v>
      </c>
      <c r="F7" s="17" t="n">
        <v>0.02</v>
      </c>
      <c r="G7" s="17" t="n">
        <v>0.005</v>
      </c>
      <c r="H7" s="19" t="n">
        <v>26</v>
      </c>
      <c r="I7" s="32" t="n">
        <f aca="false">Segments!$D$5*(1+B7)*(1+C7)</f>
        <v>21590.8364</v>
      </c>
      <c r="J7" s="32" t="n">
        <f aca="false">(Segments!$D$10*(1+Assumptions!$B$69+F7)+Assumptions!$B$70)*(1+Assumptions!$B$71+F7)+Segments!$D$15*(1+Assumptions!$B$74+F7)*(1+Assumptions!$B$75+F7)</f>
        <v>18055.1342</v>
      </c>
      <c r="K7" s="32" t="n">
        <f aca="false">I7*E7+(Segments!$D$10*(1+Assumptions!$B$69+F7)+Assumptions!$B$70)*(1+Assumptions!$B$71+F7)*(Assumptions!$B$73+G7)+Segments!$D$15*(1+Assumptions!$B$74+F7)*(1+Assumptions!$B$75+F7)*(Assumptions!$B$77+G7)</f>
        <v>10980.379535</v>
      </c>
      <c r="L7" s="33" t="n">
        <f aca="false">((K7-Assumptions!$B$79-Assumptions!$B$81+Assumptions!$B$61)*(1-Assumptions!$B$62)-Assumptions!$B$63)/(Assumptions!$B$11-Assumptions!$B$82)</f>
        <v>20.5204411682477</v>
      </c>
      <c r="M7" s="33" t="n">
        <f aca="false">L7*H7</f>
        <v>533.53147037444</v>
      </c>
      <c r="N7" s="34" t="n">
        <f aca="false">M7/Assumptions!$B$7-1</f>
        <v>0.457298272034198</v>
      </c>
    </row>
    <row r="8" customFormat="false" ht="15" hidden="false" customHeight="false" outlineLevel="0" collapsed="false">
      <c r="B8" s="5" t="s">
        <v>254</v>
      </c>
      <c r="C8" s="5" t="s">
        <v>255</v>
      </c>
      <c r="D8" s="5" t="s">
        <v>256</v>
      </c>
    </row>
    <row r="9" customFormat="false" ht="15" hidden="false" customHeight="false" outlineLevel="0" collapsed="false">
      <c r="A9" s="5" t="s">
        <v>257</v>
      </c>
      <c r="B9" s="37" t="n">
        <v>0.25</v>
      </c>
      <c r="C9" s="37" t="n">
        <v>0.5</v>
      </c>
      <c r="D9" s="37" t="n">
        <v>0.25</v>
      </c>
      <c r="E9" s="38" t="n">
        <f aca="false">SUM(B9:D9)</f>
        <v>1</v>
      </c>
      <c r="F9" s="12" t="s">
        <v>258</v>
      </c>
    </row>
    <row r="11" customFormat="false" ht="15" hidden="false" customHeight="false" outlineLevel="0" collapsed="false">
      <c r="A11" s="5" t="s">
        <v>17</v>
      </c>
      <c r="E11" s="39" t="n">
        <f aca="false">B9*M5+C9*M6+D9*M7</f>
        <v>417.729567113419</v>
      </c>
      <c r="F11" s="34" t="n">
        <f aca="false">E11/Assumptions!$B$7-1</f>
        <v>0.14099469316167</v>
      </c>
    </row>
    <row r="12" customFormat="false" ht="15" hidden="false" customHeight="false" outlineLevel="0" collapsed="false">
      <c r="A12" s="0" t="s">
        <v>259</v>
      </c>
      <c r="E12" s="40" t="n">
        <f aca="false">M6-Valuation!B7</f>
        <v>0</v>
      </c>
    </row>
    <row r="14" customFormat="false" ht="15" hidden="false" customHeight="false" outlineLevel="0" collapsed="false">
      <c r="A14" s="12" t="s">
        <v>260</v>
      </c>
    </row>
    <row r="15" customFormat="false" ht="15" hidden="false" customHeight="false" outlineLevel="0" collapsed="false">
      <c r="A15" s="12" t="s">
        <v>261</v>
      </c>
    </row>
    <row r="16" customFormat="false" ht="15" hidden="false" customHeight="false" outlineLevel="0" collapsed="false">
      <c r="A16" s="12" t="s">
        <v>262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263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264</v>
      </c>
      <c r="B4" s="41" t="n">
        <v>20</v>
      </c>
      <c r="C4" s="41" t="n">
        <f aca="false">Assumptions!$B$83</f>
        <v>23</v>
      </c>
      <c r="D4" s="41" t="n">
        <v>26</v>
      </c>
    </row>
    <row r="5" customFormat="false" ht="15" hidden="false" customHeight="false" outlineLevel="0" collapsed="false">
      <c r="A5" s="13" t="n">
        <v>17</v>
      </c>
      <c r="B5" s="42" t="n">
        <f aca="false">$A5*B$4</f>
        <v>340</v>
      </c>
      <c r="C5" s="42" t="n">
        <f aca="false">$A5*C$4</f>
        <v>391</v>
      </c>
      <c r="D5" s="42" t="n">
        <f aca="false">$A5*D$4</f>
        <v>442</v>
      </c>
    </row>
    <row r="6" customFormat="false" ht="15" hidden="false" customHeight="false" outlineLevel="0" collapsed="false">
      <c r="A6" s="43" t="n">
        <f aca="false">EPS!F14</f>
        <v>18.850987347141</v>
      </c>
      <c r="B6" s="42" t="n">
        <f aca="false">$A6*B$4</f>
        <v>377.01974694282</v>
      </c>
      <c r="C6" s="44" t="n">
        <f aca="false">$A6*C$4</f>
        <v>433.572708984242</v>
      </c>
      <c r="D6" s="42" t="n">
        <f aca="false">$A6*D$4</f>
        <v>490.125671025665</v>
      </c>
    </row>
    <row r="7" customFormat="false" ht="15" hidden="false" customHeight="false" outlineLevel="0" collapsed="false">
      <c r="A7" s="13" t="n">
        <v>20.5</v>
      </c>
      <c r="B7" s="42" t="n">
        <f aca="false">$A7*B$4</f>
        <v>410</v>
      </c>
      <c r="C7" s="42" t="n">
        <f aca="false">$A7*C$4</f>
        <v>471.5</v>
      </c>
      <c r="D7" s="42" t="n">
        <f aca="false">$A7*D$4</f>
        <v>533</v>
      </c>
    </row>
    <row r="9" customFormat="false" ht="15" hidden="false" customHeight="false" outlineLevel="0" collapsed="false">
      <c r="A9" s="5" t="s">
        <v>265</v>
      </c>
      <c r="B9" s="0" t="n">
        <f aca="false">COUNTIF(B5:D7,"&gt;"&amp;Assumptions!$B$7)</f>
        <v>8</v>
      </c>
      <c r="C9" s="0" t="s">
        <v>266</v>
      </c>
    </row>
    <row r="10" customFormat="false" ht="15" hidden="false" customHeight="false" outlineLevel="0" collapsed="false">
      <c r="A10" s="5" t="s">
        <v>267</v>
      </c>
      <c r="B10" s="0" t="n">
        <f aca="false">COUNTIF(B5:D7,"&gt;="&amp;Assumptions!$B$7*1.15)</f>
        <v>5</v>
      </c>
      <c r="C10" s="0" t="s">
        <v>266</v>
      </c>
    </row>
    <row r="12" customFormat="false" ht="15" hidden="false" customHeight="false" outlineLevel="0" collapsed="false">
      <c r="A12" s="12" t="s">
        <v>268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11" min="2" style="0" width="10"/>
  </cols>
  <sheetData>
    <row r="1" customFormat="false" ht="15" hidden="false" customHeight="false" outlineLevel="0" collapsed="false">
      <c r="A1" s="1" t="s">
        <v>269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172</v>
      </c>
      <c r="B4" s="4" t="s">
        <v>270</v>
      </c>
      <c r="C4" s="4" t="s">
        <v>271</v>
      </c>
      <c r="D4" s="4" t="s">
        <v>272</v>
      </c>
      <c r="E4" s="4" t="s">
        <v>273</v>
      </c>
      <c r="F4" s="4" t="s">
        <v>274</v>
      </c>
      <c r="G4" s="4" t="s">
        <v>275</v>
      </c>
      <c r="H4" s="4" t="s">
        <v>276</v>
      </c>
      <c r="I4" s="4" t="s">
        <v>277</v>
      </c>
      <c r="J4" s="4" t="s">
        <v>278</v>
      </c>
      <c r="K4" s="4" t="s">
        <v>279</v>
      </c>
    </row>
    <row r="5" customFormat="false" ht="15" hidden="false" customHeight="false" outlineLevel="0" collapsed="false">
      <c r="A5" s="0" t="s">
        <v>280</v>
      </c>
      <c r="B5" s="45" t="n">
        <v>2690</v>
      </c>
      <c r="C5" s="45" t="n">
        <v>2877</v>
      </c>
      <c r="D5" s="45" t="n">
        <v>2963</v>
      </c>
      <c r="E5" s="45" t="n">
        <v>2905</v>
      </c>
      <c r="F5" s="45" t="n">
        <v>3010</v>
      </c>
      <c r="G5" s="45" t="n">
        <v>3350</v>
      </c>
      <c r="H5" s="45" t="n">
        <v>3410</v>
      </c>
      <c r="I5" s="45" t="n">
        <v>3506</v>
      </c>
      <c r="J5" s="45" t="n">
        <v>3600</v>
      </c>
      <c r="K5" s="45" t="n">
        <v>3951</v>
      </c>
    </row>
    <row r="6" customFormat="false" ht="15" hidden="false" customHeight="false" outlineLevel="0" collapsed="false">
      <c r="A6" s="0" t="s">
        <v>281</v>
      </c>
      <c r="B6" s="45" t="n">
        <v>785</v>
      </c>
      <c r="C6" s="45" t="n">
        <v>859</v>
      </c>
      <c r="D6" s="45" t="n">
        <v>892</v>
      </c>
      <c r="E6" s="45" t="n">
        <v>918</v>
      </c>
      <c r="F6" s="45" t="n">
        <v>904</v>
      </c>
      <c r="G6" s="45" t="n">
        <v>987</v>
      </c>
      <c r="H6" s="45" t="n">
        <v>1034</v>
      </c>
      <c r="I6" s="45" t="n">
        <v>1046</v>
      </c>
      <c r="J6" s="45" t="n">
        <v>922</v>
      </c>
      <c r="K6" s="45" t="n">
        <v>1088</v>
      </c>
    </row>
    <row r="7" customFormat="false" ht="15" hidden="false" customHeight="false" outlineLevel="0" collapsed="false">
      <c r="A7" s="0" t="s">
        <v>282</v>
      </c>
      <c r="B7" s="22" t="n">
        <f aca="false">B6/B5</f>
        <v>0.29182156133829</v>
      </c>
      <c r="C7" s="22" t="n">
        <f aca="false">C6/C5</f>
        <v>0.298574904414321</v>
      </c>
      <c r="D7" s="22" t="n">
        <f aca="false">D6/D5</f>
        <v>0.301046236922038</v>
      </c>
      <c r="E7" s="22" t="n">
        <f aca="false">E6/E5</f>
        <v>0.316006884681584</v>
      </c>
      <c r="F7" s="22" t="n">
        <f aca="false">F6/F5</f>
        <v>0.300332225913621</v>
      </c>
      <c r="G7" s="22" t="n">
        <f aca="false">G6/G5</f>
        <v>0.294626865671642</v>
      </c>
      <c r="H7" s="22" t="n">
        <f aca="false">H6/H5</f>
        <v>0.303225806451613</v>
      </c>
      <c r="I7" s="22" t="n">
        <f aca="false">I6/I5</f>
        <v>0.298345693097547</v>
      </c>
      <c r="J7" s="22" t="n">
        <f aca="false">J6/J5</f>
        <v>0.256111111111111</v>
      </c>
      <c r="K7" s="22" t="n">
        <f aca="false">K6/K5</f>
        <v>0.275373323209314</v>
      </c>
    </row>
    <row r="8" customFormat="false" ht="15" hidden="false" customHeight="false" outlineLevel="0" collapsed="false">
      <c r="A8" s="0" t="s">
        <v>283</v>
      </c>
      <c r="E8" s="21" t="n">
        <f aca="false">SUM(B5:E5)</f>
        <v>11435</v>
      </c>
      <c r="F8" s="21" t="n">
        <f aca="false">SUM(C5:F5)</f>
        <v>11755</v>
      </c>
      <c r="G8" s="21" t="n">
        <f aca="false">SUM(D5:G5)</f>
        <v>12228</v>
      </c>
      <c r="H8" s="21" t="n">
        <f aca="false">SUM(E5:H5)</f>
        <v>12675</v>
      </c>
      <c r="I8" s="21" t="n">
        <f aca="false">SUM(F5:I5)</f>
        <v>13276</v>
      </c>
      <c r="J8" s="21" t="n">
        <f aca="false">SUM(G5:J5)</f>
        <v>13866</v>
      </c>
      <c r="K8" s="21" t="n">
        <f aca="false">SUM(H5:K5)</f>
        <v>14467</v>
      </c>
    </row>
    <row r="9" customFormat="false" ht="15" hidden="false" customHeight="false" outlineLevel="0" collapsed="false">
      <c r="A9" s="0" t="s">
        <v>284</v>
      </c>
      <c r="E9" s="45" t="n">
        <v>10141</v>
      </c>
      <c r="F9" s="45" t="n">
        <v>10050</v>
      </c>
      <c r="G9" s="45" t="n">
        <v>11377</v>
      </c>
      <c r="H9" s="45" t="n">
        <v>12009</v>
      </c>
      <c r="I9" s="45" t="n">
        <v>13246</v>
      </c>
      <c r="J9" s="45" t="n">
        <v>14459</v>
      </c>
      <c r="K9" s="45" t="n">
        <v>15175</v>
      </c>
    </row>
    <row r="10" customFormat="false" ht="15" hidden="false" customHeight="false" outlineLevel="0" collapsed="false">
      <c r="A10" s="0" t="s">
        <v>285</v>
      </c>
      <c r="E10" s="46" t="n">
        <f aca="false">E9/E8</f>
        <v>0.886838653257543</v>
      </c>
      <c r="F10" s="46" t="n">
        <f aca="false">F9/F8</f>
        <v>0.854955338153977</v>
      </c>
      <c r="G10" s="46" t="n">
        <f aca="false">G9/G8</f>
        <v>0.930405626431142</v>
      </c>
      <c r="H10" s="46" t="n">
        <f aca="false">H9/H8</f>
        <v>0.947455621301775</v>
      </c>
      <c r="I10" s="46" t="n">
        <f aca="false">I9/I8</f>
        <v>0.997740283217837</v>
      </c>
      <c r="J10" s="46" t="n">
        <f aca="false">J9/J8</f>
        <v>1.04276647915765</v>
      </c>
      <c r="K10" s="46" t="n">
        <f aca="false">K9/K8</f>
        <v>1.04893896453999</v>
      </c>
    </row>
    <row r="11" customFormat="false" ht="15" hidden="false" customHeight="false" outlineLevel="0" collapsed="false">
      <c r="A11" s="0" t="s">
        <v>286</v>
      </c>
      <c r="E11" s="47" t="n">
        <f aca="false">E10*12</f>
        <v>10.6420638390905</v>
      </c>
      <c r="F11" s="47" t="n">
        <f aca="false">F10*12</f>
        <v>10.2594640578477</v>
      </c>
      <c r="G11" s="47" t="n">
        <f aca="false">G10*12</f>
        <v>11.1648675171737</v>
      </c>
      <c r="H11" s="47" t="n">
        <f aca="false">H10*12</f>
        <v>11.3694674556213</v>
      </c>
      <c r="I11" s="47" t="n">
        <f aca="false">I10*12</f>
        <v>11.972883398614</v>
      </c>
      <c r="J11" s="47" t="n">
        <f aca="false">J10*12</f>
        <v>12.5131977498918</v>
      </c>
      <c r="K11" s="47" t="n">
        <f aca="false">K10*12</f>
        <v>12.5872675744799</v>
      </c>
    </row>
    <row r="13" customFormat="false" ht="15" hidden="false" customHeight="false" outlineLevel="0" collapsed="false">
      <c r="A13" s="0" t="s">
        <v>287</v>
      </c>
      <c r="B13" s="22" t="n">
        <f aca="false">K8/G8-1</f>
        <v>0.183104350670592</v>
      </c>
    </row>
    <row r="14" customFormat="false" ht="15" hidden="false" customHeight="false" outlineLevel="0" collapsed="false">
      <c r="A14" s="0" t="s">
        <v>288</v>
      </c>
      <c r="B14" s="22" t="n">
        <f aca="false">K9/G9-1</f>
        <v>0.333831414256834</v>
      </c>
    </row>
    <row r="15" customFormat="false" ht="15" hidden="false" customHeight="false" outlineLevel="0" collapsed="false">
      <c r="A15" s="0" t="s">
        <v>289</v>
      </c>
      <c r="B15" s="46" t="n">
        <f aca="false">G10</f>
        <v>0.930405626431142</v>
      </c>
    </row>
    <row r="16" customFormat="false" ht="15" hidden="false" customHeight="false" outlineLevel="0" collapsed="false">
      <c r="A16" s="0" t="s">
        <v>290</v>
      </c>
      <c r="B16" s="48" t="n">
        <v>3990</v>
      </c>
    </row>
    <row r="17" customFormat="false" ht="15" hidden="false" customHeight="false" outlineLevel="0" collapsed="false">
      <c r="A17" s="0" t="s">
        <v>291</v>
      </c>
      <c r="B17" s="21" t="n">
        <f aca="false">K10*(SUM(I5:K5)+B16)</f>
        <v>15783.3845994332</v>
      </c>
    </row>
    <row r="19" customFormat="false" ht="15" hidden="false" customHeight="false" outlineLevel="0" collapsed="false">
      <c r="A19" s="12" t="s">
        <v>292</v>
      </c>
    </row>
    <row r="20" customFormat="false" ht="15" hidden="false" customHeight="false" outlineLevel="0" collapsed="false">
      <c r="A20" s="12" t="s">
        <v>293</v>
      </c>
    </row>
    <row r="21" customFormat="false" ht="15" hidden="false" customHeight="false" outlineLevel="0" collapsed="false">
      <c r="A21" s="12" t="s">
        <v>294</v>
      </c>
    </row>
    <row r="22" customFormat="false" ht="15" hidden="false" customHeight="false" outlineLevel="0" collapsed="false">
      <c r="A22" s="12" t="s">
        <v>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70"/>
  </cols>
  <sheetData>
    <row r="1" customFormat="false" ht="15" hidden="false" customHeight="false" outlineLevel="0" collapsed="false">
      <c r="A1" s="1" t="s">
        <v>296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297</v>
      </c>
      <c r="B4" s="4" t="s">
        <v>298</v>
      </c>
      <c r="C4" s="4" t="s">
        <v>299</v>
      </c>
      <c r="D4" s="4" t="s">
        <v>300</v>
      </c>
      <c r="E4" s="4" t="s">
        <v>301</v>
      </c>
    </row>
    <row r="5" customFormat="false" ht="15" hidden="false" customHeight="false" outlineLevel="0" collapsed="false">
      <c r="A5" s="5" t="s">
        <v>302</v>
      </c>
      <c r="B5" s="0" t="s">
        <v>303</v>
      </c>
      <c r="C5" s="49" t="n">
        <v>24.17</v>
      </c>
      <c r="D5" s="49" t="n">
        <v>29.85</v>
      </c>
      <c r="E5" s="7" t="s">
        <v>304</v>
      </c>
    </row>
    <row r="6" customFormat="false" ht="15" hidden="false" customHeight="false" outlineLevel="0" collapsed="false">
      <c r="A6" s="23" t="s">
        <v>305</v>
      </c>
      <c r="B6" s="0" t="s">
        <v>306</v>
      </c>
      <c r="C6" s="49" t="n">
        <v>24.53</v>
      </c>
      <c r="D6" s="49" t="n">
        <v>32.75</v>
      </c>
      <c r="E6" s="7" t="s">
        <v>307</v>
      </c>
    </row>
    <row r="7" customFormat="false" ht="15" hidden="false" customHeight="false" outlineLevel="0" collapsed="false">
      <c r="A7" s="23" t="s">
        <v>308</v>
      </c>
      <c r="B7" s="0" t="s">
        <v>309</v>
      </c>
      <c r="C7" s="49" t="n">
        <v>22.45</v>
      </c>
      <c r="D7" s="49" t="n">
        <v>22.9</v>
      </c>
      <c r="E7" s="7" t="s">
        <v>310</v>
      </c>
    </row>
    <row r="8" customFormat="false" ht="15" hidden="false" customHeight="false" outlineLevel="0" collapsed="false">
      <c r="A8" s="23" t="s">
        <v>311</v>
      </c>
      <c r="B8" s="0" t="s">
        <v>312</v>
      </c>
      <c r="C8" s="49" t="n">
        <v>21.11</v>
      </c>
      <c r="D8" s="49" t="n">
        <v>26.51</v>
      </c>
      <c r="E8" s="7" t="s">
        <v>313</v>
      </c>
    </row>
    <row r="9" customFormat="false" ht="15" hidden="false" customHeight="false" outlineLevel="0" collapsed="false">
      <c r="A9" s="23" t="s">
        <v>314</v>
      </c>
      <c r="B9" s="0" t="s">
        <v>315</v>
      </c>
      <c r="C9" s="49" t="n">
        <v>20.53</v>
      </c>
      <c r="D9" s="49" t="n">
        <v>22.52</v>
      </c>
      <c r="E9" s="7" t="s">
        <v>316</v>
      </c>
    </row>
    <row r="10" customFormat="false" ht="15" hidden="false" customHeight="false" outlineLevel="0" collapsed="false">
      <c r="A10" s="23" t="s">
        <v>317</v>
      </c>
      <c r="B10" s="0" t="s">
        <v>318</v>
      </c>
      <c r="C10" s="49" t="n">
        <v>20.36</v>
      </c>
      <c r="D10" s="49" t="n">
        <v>22.99</v>
      </c>
      <c r="E10" s="7" t="s">
        <v>319</v>
      </c>
    </row>
    <row r="11" customFormat="false" ht="15" hidden="false" customHeight="false" outlineLevel="0" collapsed="false">
      <c r="A11" s="23" t="s">
        <v>320</v>
      </c>
      <c r="B11" s="0" t="s">
        <v>321</v>
      </c>
      <c r="C11" s="49" t="n">
        <v>19.19</v>
      </c>
      <c r="D11" s="49" t="n">
        <v>20.13</v>
      </c>
      <c r="E11" s="7" t="s">
        <v>322</v>
      </c>
    </row>
    <row r="12" customFormat="false" ht="15" hidden="false" customHeight="false" outlineLevel="0" collapsed="false">
      <c r="A12" s="23" t="s">
        <v>323</v>
      </c>
      <c r="B12" s="0" t="s">
        <v>324</v>
      </c>
      <c r="C12" s="49" t="n">
        <v>19.13</v>
      </c>
      <c r="D12" s="49" t="n">
        <v>19.48</v>
      </c>
      <c r="E12" s="7" t="s">
        <v>325</v>
      </c>
    </row>
    <row r="14" customFormat="false" ht="15" hidden="false" customHeight="false" outlineLevel="0" collapsed="false">
      <c r="A14" s="5" t="s">
        <v>326</v>
      </c>
      <c r="C14" s="50" t="n">
        <f aca="false">MEDIAN(C6:C12)</f>
        <v>20.53</v>
      </c>
      <c r="D14" s="50" t="n">
        <f aca="false">MEDIAN(D6:D12)</f>
        <v>22.9</v>
      </c>
    </row>
    <row r="15" customFormat="false" ht="15" hidden="false" customHeight="false" outlineLevel="0" collapsed="false">
      <c r="A15" s="5" t="s">
        <v>327</v>
      </c>
      <c r="C15" s="50" t="n">
        <f aca="false">AVERAGE(23.9,19.46,24.54,28.24,23.84)</f>
        <v>23.996</v>
      </c>
    </row>
    <row r="17" customFormat="false" ht="15" hidden="false" customHeight="false" outlineLevel="0" collapsed="false">
      <c r="A17" s="12" t="s">
        <v>328</v>
      </c>
    </row>
    <row r="18" customFormat="false" ht="15" hidden="false" customHeight="false" outlineLevel="0" collapsed="false">
      <c r="A18" s="12" t="s">
        <v>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0"/>
  </cols>
  <sheetData>
    <row r="1" customFormat="false" ht="15" hidden="false" customHeight="false" outlineLevel="0" collapsed="false">
      <c r="A1" s="1" t="s">
        <v>330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331</v>
      </c>
      <c r="B4" s="4" t="s">
        <v>332</v>
      </c>
    </row>
    <row r="5" customFormat="false" ht="23.85" hidden="false" customHeight="false" outlineLevel="0" collapsed="false">
      <c r="A5" s="0" t="n">
        <v>1</v>
      </c>
      <c r="B5" s="7" t="s">
        <v>333</v>
      </c>
    </row>
    <row r="6" customFormat="false" ht="23.85" hidden="false" customHeight="false" outlineLevel="0" collapsed="false">
      <c r="A6" s="0" t="n">
        <v>2</v>
      </c>
      <c r="B6" s="7" t="s">
        <v>334</v>
      </c>
    </row>
    <row r="7" customFormat="false" ht="23.85" hidden="false" customHeight="false" outlineLevel="0" collapsed="false">
      <c r="A7" s="0" t="n">
        <v>3</v>
      </c>
      <c r="B7" s="7" t="s">
        <v>335</v>
      </c>
    </row>
    <row r="8" customFormat="false" ht="23.85" hidden="false" customHeight="false" outlineLevel="0" collapsed="false">
      <c r="A8" s="0" t="n">
        <v>4</v>
      </c>
      <c r="B8" s="7" t="s">
        <v>336</v>
      </c>
    </row>
    <row r="9" customFormat="false" ht="23.85" hidden="false" customHeight="false" outlineLevel="0" collapsed="false">
      <c r="A9" s="0" t="n">
        <v>5</v>
      </c>
      <c r="B9" s="7" t="s">
        <v>337</v>
      </c>
    </row>
    <row r="10" customFormat="false" ht="15" hidden="false" customHeight="false" outlineLevel="0" collapsed="false">
      <c r="A10" s="0" t="n">
        <v>6</v>
      </c>
      <c r="B10" s="7" t="s">
        <v>338</v>
      </c>
    </row>
    <row r="11" customFormat="false" ht="15" hidden="false" customHeight="false" outlineLevel="0" collapsed="false">
      <c r="A11" s="0" t="n">
        <v>7</v>
      </c>
      <c r="B11" s="7" t="s">
        <v>339</v>
      </c>
    </row>
    <row r="12" customFormat="false" ht="23.85" hidden="false" customHeight="false" outlineLevel="0" collapsed="false">
      <c r="A12" s="0" t="n">
        <v>8</v>
      </c>
      <c r="B12" s="7" t="s">
        <v>340</v>
      </c>
    </row>
    <row r="13" customFormat="false" ht="15" hidden="false" customHeight="false" outlineLevel="0" collapsed="false">
      <c r="A13" s="0" t="n">
        <v>9</v>
      </c>
      <c r="B13" s="7" t="s">
        <v>341</v>
      </c>
    </row>
    <row r="14" customFormat="false" ht="23.85" hidden="false" customHeight="false" outlineLevel="0" collapsed="false">
      <c r="A14" s="0" t="n">
        <v>10</v>
      </c>
      <c r="B14" s="7" t="s">
        <v>342</v>
      </c>
    </row>
    <row r="15" customFormat="false" ht="23.85" hidden="false" customHeight="false" outlineLevel="0" collapsed="false">
      <c r="A15" s="0" t="n">
        <v>11</v>
      </c>
      <c r="B15" s="7" t="s">
        <v>343</v>
      </c>
    </row>
    <row r="16" customFormat="false" ht="15" hidden="false" customHeight="false" outlineLevel="0" collapsed="false">
      <c r="A16" s="0" t="n">
        <v>12</v>
      </c>
      <c r="B16" s="7" t="s">
        <v>344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2026-10-26T03:18:31Z</dcterms:created>
  <dc:creator>openpyxl</dc:creator>
  <dc:description/>
  <dc:language>en-GB</dc:language>
  <cp:lastModifiedBy/>
  <dcterms:modified xsi:type="dcterms:W3CDTF">2026-10-26T03:18:31Z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