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10.xml" ContentType="application/vnd.openxmlformats-officedocument.spreadsheetml.worksheet+xml"/>
  <Override PartName="/xl/worksheets/sheet8.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Cover" sheetId="1" state="visible" r:id="rId3"/>
    <sheet name="Assumptions" sheetId="2" state="visible" r:id="rId4"/>
    <sheet name="HitachiEnergy" sheetId="3" state="visible" r:id="rId5"/>
    <sheet name="Segments" sheetId="4" state="visible" r:id="rId6"/>
    <sheet name="Valuation" sheetId="5" state="visible" r:id="rId7"/>
    <sheet name="Scenarios" sheetId="6" state="visible" r:id="rId8"/>
    <sheet name="Sensitivity" sheetId="7" state="visible" r:id="rId9"/>
    <sheet name="Queue" sheetId="8" state="visible" r:id="rId10"/>
    <sheet name="Peers" sheetId="9" state="visible" r:id="rId11"/>
    <sheet name="Sources" sheetId="10" state="visible" r:id="rId1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<sst xmlns="http://schemas.openxmlformats.org/spreadsheetml/2006/main" count="493" uniqueCount="370">
  <si>
    <t xml:space="preserve">HITACHI, LTD. (TSE: 6501)  INITIATION MODEL</t>
  </si>
  <si>
    <t xml:space="preserve">Tommy Lau | Hitachi, Ltd. (TSE: 6501) | 22 October 2026 | Personal research, not investment advice.</t>
  </si>
  <si>
    <t xml:space="preserve">Item</t>
  </si>
  <si>
    <t xml:space="preserve">Value</t>
  </si>
  <si>
    <t xml:space="preserve">Note</t>
  </si>
  <si>
    <t xml:space="preserve">Call (Tommy Lau, 22 October 2026)</t>
  </si>
  <si>
    <t xml:space="preserve">LONG at +15% or more, SHORT at -25% or worse, NO CALL between.</t>
  </si>
  <si>
    <t xml:space="preserve">Base value per share, ¥</t>
  </si>
  <si>
    <t xml:space="preserve">Sum of the parts on FY2027E adjusted EBITA, plus the bridge, over shares outstanding.</t>
  </si>
  <si>
    <t xml:space="preserve">Reference price, ¥</t>
  </si>
  <si>
    <t xml:space="preserve">TSE close, 21 October 2026.</t>
  </si>
  <si>
    <t xml:space="preserve">Base value against price</t>
  </si>
  <si>
    <t xml:space="preserve">Probability-weighted value, ¥</t>
  </si>
  <si>
    <t xml:space="preserve">25 / 50 / 25 bear / base / bull.</t>
  </si>
  <si>
    <t xml:space="preserve">Hitachi Energy share of my equity value</t>
  </si>
  <si>
    <t xml:space="preserve">Conviction</t>
  </si>
  <si>
    <t xml:space="preserve">Medium</t>
  </si>
  <si>
    <t xml:space="preserve">Judgement, not formula.</t>
  </si>
  <si>
    <t xml:space="preserve">Horizon</t>
  </si>
  <si>
    <t xml:space="preserve">12 months, to October 2027</t>
  </si>
  <si>
    <t xml:space="preserve">Revisit if</t>
  </si>
  <si>
    <t xml:space="preserve">See note</t>
  </si>
  <si>
    <t xml:space="preserve">A price below about ¥5,600, where my base value would sit 15 per cent above it, or Hitachi raising its fiscal 2027 target for Hitachi Energy above US$28 billion of revenue at a 16 per cent adjusted EBITA margin.</t>
  </si>
  <si>
    <t xml:space="preserve">Wrong if</t>
  </si>
  <si>
    <t xml:space="preserve">The shares close above ¥7,300 or below ¥4,400 in October 2027, or Hitachi Energy's fiscal 2026 adjusted EBITA margin lands below 14 per cent against the 14.8 per cent forecast, or its backlog falls below 2.5 times its revenue over the previous four quarters at two quarter ends in a row before October 2027.</t>
  </si>
  <si>
    <t xml:space="preserve">Tabs</t>
  </si>
  <si>
    <t xml:space="preserve">Assumptions</t>
  </si>
  <si>
    <t xml:space="preserve">Every input, with its source. Change the yellow cells to move the value.</t>
  </si>
  <si>
    <t xml:space="preserve">HitachiEnergy</t>
  </si>
  <si>
    <t xml:space="preserve">Revenue, margin and adjusted EBITA in US$, FY2024A to FY2027E; share of Hitachi; forecast history.</t>
  </si>
  <si>
    <t xml:space="preserve">Segments</t>
  </si>
  <si>
    <t xml:space="preserve">Adjusted EBITA by part, FY2025A, FY2026 forecast, FY2027E.</t>
  </si>
  <si>
    <t xml:space="preserve">Valuation</t>
  </si>
  <si>
    <t xml:space="preserve">Sum of the parts, the bridge, base value, the band, what the price implies for Hitachi Energy.</t>
  </si>
  <si>
    <t xml:space="preserve">Scenarios</t>
  </si>
  <si>
    <t xml:space="preserve">Bear / base / bull and the probability-weighted value.</t>
  </si>
  <si>
    <t xml:space="preserve">Sensitivity</t>
  </si>
  <si>
    <t xml:space="preserve">Hitachi Energy FY2027E EBITA against its multiple.</t>
  </si>
  <si>
    <t xml:space="preserve">Queue</t>
  </si>
  <si>
    <t xml:space="preserve">Order backlog, backlog to revenue, orders against revenue: the claim's tests.</t>
  </si>
  <si>
    <t xml:space="preserve">Peers</t>
  </si>
  <si>
    <t xml:space="preserve">Forward P/E and trailing EV/EBIT used to set the multiples.</t>
  </si>
  <si>
    <t xml:space="preserve">Sources</t>
  </si>
  <si>
    <t xml:space="preserve">Every source used.</t>
  </si>
  <si>
    <t xml:space="preserve">Colour key: blue = hardcoded input; yellow fill = my own assumption; green = link to another tab; black = formula.</t>
  </si>
  <si>
    <t xml:space="preserve">Companion note: 2026-10-22_Hitachi_Initiation.pdf. Personal research, not investment advice.</t>
  </si>
  <si>
    <t xml:space="preserve">ASSUMPTIONS AND INPUTS</t>
  </si>
  <si>
    <t xml:space="preserve">Blue = hardcoded input. Yellow fill = my own assumption (change these to move the value). Green = link to another tab. Black = formula. Yen billion unless stated. Fiscal year ends 31 March.</t>
  </si>
  <si>
    <t xml:space="preserve">Input</t>
  </si>
  <si>
    <t xml:space="preserve">Unit</t>
  </si>
  <si>
    <t xml:space="preserve">Source / note</t>
  </si>
  <si>
    <t xml:space="preserve">MARKET</t>
  </si>
  <si>
    <t xml:space="preserve">Reference share price</t>
  </si>
  <si>
    <t xml:space="preserve">¥</t>
  </si>
  <si>
    <t xml:space="preserve">TSE close, 21 October 2026 (a record close). Yahoo Finance 6501.T, retrieved 22 October 2026.</t>
  </si>
  <si>
    <t xml:space="preserve">All-time intraday high, 10 February 2026</t>
  </si>
  <si>
    <t xml:space="preserve">Yahoo Finance 6501.T.</t>
  </si>
  <si>
    <t xml:space="preserve">Issued shares including treasury stock, 30 June 2026</t>
  </si>
  <si>
    <t xml:space="preserve">m</t>
  </si>
  <si>
    <t xml:space="preserve">Q1 FY2026 results outline and supplement, 29 July 2026: 4,535,560,985.</t>
  </si>
  <si>
    <t xml:space="preserve">Treasury stock, 30 June 2026</t>
  </si>
  <si>
    <t xml:space="preserve">Q1 FY2026 results outline and supplement, 29 July 2026: 64,552,492.</t>
  </si>
  <si>
    <t xml:space="preserve">Cash and cash equivalents, 30 June 2026</t>
  </si>
  <si>
    <t xml:space="preserve">¥bn</t>
  </si>
  <si>
    <t xml:space="preserve">Q1 FY2026 results outline and supplement, 29 July 2026, statement of financial position.</t>
  </si>
  <si>
    <t xml:space="preserve">Interest-bearing debt, 30 June 2026</t>
  </si>
  <si>
    <t xml:space="preserve">Short-term debt 61.1 + current portion of long-term debt 432.9 + long-term debt 562.9.</t>
  </si>
  <si>
    <t xml:space="preserve">Investments accounted for using the equity method</t>
  </si>
  <si>
    <t xml:space="preserve">Book value, 30 June 2026. Taken at book.</t>
  </si>
  <si>
    <t xml:space="preserve">Non-current investments in securities and other financial assets</t>
  </si>
  <si>
    <t xml:space="preserve">Non-controlling interests</t>
  </si>
  <si>
    <t xml:space="preserve">Book value, 30 June 2026. Deducted at book.</t>
  </si>
  <si>
    <t xml:space="preserve">Retirement and severance benefits liability</t>
  </si>
  <si>
    <t xml:space="preserve">30 June 2026. Deducted.</t>
  </si>
  <si>
    <t xml:space="preserve">FY2026 EPS forecast (Hitachi)</t>
  </si>
  <si>
    <t xml:space="preserve">Raised on 29 July 2026 from ¥188.78.</t>
  </si>
  <si>
    <t xml:space="preserve">FY2026 consensus EPS (year to March 2027)</t>
  </si>
  <si>
    <t xml:space="preserve">stockanalysis.com (S&amp;P Global data), retrieved and reconfirmed 22 October 2026. Cross-check only.</t>
  </si>
  <si>
    <t xml:space="preserve">Average analyst target</t>
  </si>
  <si>
    <t xml:space="preserve">stockanalysis.com, 14 analysts, updated 17 September 2026; range ¥5,500 to ¥7,500. Cross-check only.</t>
  </si>
  <si>
    <t xml:space="preserve">GROUP, FY2025 ACTUAL (RESTATED) AND FY2026 FORECAST (RAISED 29 JULY 2026)</t>
  </si>
  <si>
    <t xml:space="preserve">Group revenue, FY2025</t>
  </si>
  <si>
    <t xml:space="preserve">FY2025 results outline, 27 April 2026.</t>
  </si>
  <si>
    <t xml:space="preserve">Group adjusted EBITA, FY2025</t>
  </si>
  <si>
    <t xml:space="preserve">FY2025 results outline.</t>
  </si>
  <si>
    <t xml:space="preserve">Group revenue, FY2026 forecast</t>
  </si>
  <si>
    <t xml:space="preserve">Q1 FY2026 results outline and supplement, 29 July 2026. Raised from ¥11,100bn.</t>
  </si>
  <si>
    <t xml:space="preserve">Group adjusted EBITA, FY2026 forecast</t>
  </si>
  <si>
    <t xml:space="preserve">Q1 FY2026 results outline and supplement, 29 July 2026. Raised from ¥1,420bn.</t>
  </si>
  <si>
    <t xml:space="preserve">Digital Systems &amp; Services revenue, FY2025 (restated)</t>
  </si>
  <si>
    <t xml:space="preserve">Q1 FY2026 supplement (FY2025 revised for the April 2026 segment changes).</t>
  </si>
  <si>
    <t xml:space="preserve">Digital Systems &amp; Services adjusted EBITA, FY2025 (restated)</t>
  </si>
  <si>
    <t xml:space="preserve">Q1 FY2026 supplement.</t>
  </si>
  <si>
    <t xml:space="preserve">Digital Systems &amp; Services revenue, FY2026 forecast</t>
  </si>
  <si>
    <t xml:space="preserve">Q1 FY2026 results outline and supplement, 29 July 2026, p29.</t>
  </si>
  <si>
    <t xml:space="preserve">Digital Systems &amp; Services adjusted EBITA, FY2026 forecast</t>
  </si>
  <si>
    <t xml:space="preserve">Energy revenue, FY2025 (restated)</t>
  </si>
  <si>
    <t xml:space="preserve">Energy adjusted EBITA, FY2025 (restated)</t>
  </si>
  <si>
    <t xml:space="preserve">Energy revenue, FY2026 forecast</t>
  </si>
  <si>
    <t xml:space="preserve">Energy adjusted EBITA, FY2026 forecast</t>
  </si>
  <si>
    <t xml:space="preserve">Mobility revenue, FY2025 (restated)</t>
  </si>
  <si>
    <t xml:space="preserve">Mobility adjusted EBITA, FY2025 (restated)</t>
  </si>
  <si>
    <t xml:space="preserve">Mobility revenue, FY2026 forecast</t>
  </si>
  <si>
    <t xml:space="preserve">Mobility adjusted EBITA, FY2026 forecast</t>
  </si>
  <si>
    <t xml:space="preserve">Connective Industries revenue, FY2025 (restated)</t>
  </si>
  <si>
    <t xml:space="preserve">Connective Industries adjusted EBITA, FY2025 (restated)</t>
  </si>
  <si>
    <t xml:space="preserve">Connective Industries revenue, FY2026 forecast</t>
  </si>
  <si>
    <t xml:space="preserve">Connective Industries adjusted EBITA, FY2026 forecast</t>
  </si>
  <si>
    <t xml:space="preserve">Others revenue, FY2025 (restated)</t>
  </si>
  <si>
    <t xml:space="preserve">Others adjusted EBITA, FY2025 (restated)</t>
  </si>
  <si>
    <t xml:space="preserve">Others revenue, FY2026 forecast</t>
  </si>
  <si>
    <t xml:space="preserve">Others adjusted EBITA, FY2026 forecast</t>
  </si>
  <si>
    <t xml:space="preserve">Corporate items and eliminations revenue, FY2025 (restated)</t>
  </si>
  <si>
    <t xml:space="preserve">Corporate items and eliminations adjusted EBITA, FY2025 (restated)</t>
  </si>
  <si>
    <t xml:space="preserve">Corporate items and eliminations revenue, FY2026 forecast</t>
  </si>
  <si>
    <t xml:space="preserve">Corporate items and eliminations adjusted EBITA, FY2026 forecast</t>
  </si>
  <si>
    <t xml:space="preserve">Assumed yen per US dollar, Q2 to Q4 FY2026</t>
  </si>
  <si>
    <t xml:space="preserve">Q1 FY2026 results outline and supplement, 29 July 2026, p19.</t>
  </si>
  <si>
    <t xml:space="preserve">HITACHI ENERGY (US$ BILLION, AS HITACHI REPORTS)</t>
  </si>
  <si>
    <t xml:space="preserve">Revenue, FY2024</t>
  </si>
  <si>
    <t xml:space="preserve">US$bn</t>
  </si>
  <si>
    <t xml:space="preserve">FY2024 results outline, 28 April 2025.</t>
  </si>
  <si>
    <t xml:space="preserve">Revenue, FY2025</t>
  </si>
  <si>
    <t xml:space="preserve">FY2025 results outline, p25.</t>
  </si>
  <si>
    <t xml:space="preserve">Revenue, FY2026 forecast</t>
  </si>
  <si>
    <t xml:space="preserve">Q1 FY2026 results outline and supplement, 29 July 2026, p23. Raised from US$23.2bn in April.</t>
  </si>
  <si>
    <t xml:space="preserve">Adjusted EBITA margin, FY2024</t>
  </si>
  <si>
    <t xml:space="preserve">%</t>
  </si>
  <si>
    <t xml:space="preserve">FY2024 results outline.</t>
  </si>
  <si>
    <t xml:space="preserve">Adjusted EBITA margin, FY2025</t>
  </si>
  <si>
    <t xml:space="preserve">Adjusted EBITA margin, FY2026 forecast</t>
  </si>
  <si>
    <t xml:space="preserve">Q1 FY2026 results outline and supplement, 29 July 2026, p23. Raised from 14.3%.</t>
  </si>
  <si>
    <t xml:space="preserve">Adjusted EBITA, FY2024</t>
  </si>
  <si>
    <t xml:space="preserve">Adjusted EBITA, FY2025</t>
  </si>
  <si>
    <t xml:space="preserve">Adjusted EBITA, FY2026 forecast</t>
  </si>
  <si>
    <t xml:space="preserve">Q1 FY2026 results outline and supplement, 29 July 2026, p23.</t>
  </si>
  <si>
    <t xml:space="preserve">FY2027 revenue target</t>
  </si>
  <si>
    <t xml:space="preserve">Investor Day, Energy Business Strategy, 10 June 2026, p3: about US$26bn.</t>
  </si>
  <si>
    <t xml:space="preserve">FY2027 adjusted EBITA margin target</t>
  </si>
  <si>
    <t xml:space="preserve">Investor Day: 15%+.</t>
  </si>
  <si>
    <t xml:space="preserve">FY2030 revenue ambition</t>
  </si>
  <si>
    <t xml:space="preserve">Investor Day, p10, stated at Hitachi's 2026 budget exchange rate.</t>
  </si>
  <si>
    <t xml:space="preserve">Revenue, Q1 FY2025</t>
  </si>
  <si>
    <t xml:space="preserve">Derived: Q1 FY2026 US$5.40bn less the US$0.99bn year-on-year increase.</t>
  </si>
  <si>
    <t xml:space="preserve">Revenue, Q1 FY2026</t>
  </si>
  <si>
    <t xml:space="preserve">MY ASSUMPTIONS, FY2027 (YEAR TO MARCH 2028)</t>
  </si>
  <si>
    <t xml:space="preserve">Hitachi Energy revenue growth in US$</t>
  </si>
  <si>
    <t xml:space="preserve">MY ASSUMPTION. Close to the plan's pace to FY2030 (about 12% a year) and to the FY2027 target of about US$26bn.</t>
  </si>
  <si>
    <t xml:space="preserve">Hitachi Energy adjusted EBITA margin</t>
  </si>
  <si>
    <t xml:space="preserve">MY ASSUMPTION. Above the 15%+ target, below the FY2030 range of 16 to 20%.</t>
  </si>
  <si>
    <t xml:space="preserve">Yen per US dollar, FY2027</t>
  </si>
  <si>
    <t xml:space="preserve">MY ASSUMPTION. Held at Hitachi's own FY2026 assumption.</t>
  </si>
  <si>
    <t xml:space="preserve">Digital Systems &amp; Services adjusted EBITA growth</t>
  </si>
  <si>
    <t xml:space="preserve">MY ASSUMPTION. Hitachi expects DSS revenue to grow 6% in FY2026 excluding FX, reorganisation and one-offs (Q1 FY2026 outline, p7).</t>
  </si>
  <si>
    <t xml:space="preserve">Connective Industries adjusted EBITA growth</t>
  </si>
  <si>
    <t xml:space="preserve">MY ASSUMPTION.</t>
  </si>
  <si>
    <t xml:space="preserve">Mobility adjusted EBITA growth</t>
  </si>
  <si>
    <t xml:space="preserve">MY ASSUMPTION. Rail Control margin gains.</t>
  </si>
  <si>
    <t xml:space="preserve">Others adjusted EBITA growth</t>
  </si>
  <si>
    <t xml:space="preserve">Energy segment excluding Hitachi Energy, adjusted EBITA</t>
  </si>
  <si>
    <t xml:space="preserve">MY ASSUMPTION. FY2026: ¥576bn segment less ¥560bn Hitachi Energy = ¥16bn (mainly Nuclear Energy).</t>
  </si>
  <si>
    <t xml:space="preserve">Corporate items and eliminations, adjusted EBITA</t>
  </si>
  <si>
    <t xml:space="preserve">MY ASSUMPTION. FY2026 forecast minus ¥96bn; strategic investment rising.</t>
  </si>
  <si>
    <t xml:space="preserve">Multiple, Hitachi Energy, EV / FY2027E adjusted EBITA</t>
  </si>
  <si>
    <t xml:space="preserve">x</t>
  </si>
  <si>
    <t xml:space="preserve">MY ASSUMPTION. Grid peers' median trailing EV/EBIT 24.5x (Peers tab), less a year of growth.</t>
  </si>
  <si>
    <t xml:space="preserve">Multiple, Energy rest (nuclear)</t>
  </si>
  <si>
    <t xml:space="preserve">Multiple, Digital Systems &amp; Services</t>
  </si>
  <si>
    <t xml:space="preserve">MY ASSUMPTION. Fujitsu 17.4x, NEC 19.1x trailing EV/EBIT.</t>
  </si>
  <si>
    <t xml:space="preserve">Multiple, Connective Industries</t>
  </si>
  <si>
    <t xml:space="preserve">MY ASSUMPTION. Mitsubishi Electric 19.1x trailing EV/EBIT.</t>
  </si>
  <si>
    <t xml:space="preserve">Multiple, Mobility</t>
  </si>
  <si>
    <t xml:space="preserve">MY ASSUMPTION. Alstom 10.3x trailing EV/EBIT.</t>
  </si>
  <si>
    <t xml:space="preserve">Multiple, Others</t>
  </si>
  <si>
    <t xml:space="preserve">Multiple, corporate costs (capitalised)</t>
  </si>
  <si>
    <t xml:space="preserve">MY ASSUMPTION. About the blended multiple of the other businesses.</t>
  </si>
  <si>
    <t xml:space="preserve">HITACHI ENERGY: REVENUE, MARGIN AND ADJUSTED EBITA</t>
  </si>
  <si>
    <t xml:space="preserve">US$ billion unless stated</t>
  </si>
  <si>
    <t xml:space="preserve">FY2024A</t>
  </si>
  <si>
    <t xml:space="preserve">FY2025A</t>
  </si>
  <si>
    <t xml:space="preserve">FY2026 forecast</t>
  </si>
  <si>
    <t xml:space="preserve">FY2027E*</t>
  </si>
  <si>
    <t xml:space="preserve">FY2030 plan</t>
  </si>
  <si>
    <t xml:space="preserve">Revenue, US$bn</t>
  </si>
  <si>
    <t xml:space="preserve">Revenue growth</t>
  </si>
  <si>
    <t xml:space="preserve">Adjusted EBITA margin</t>
  </si>
  <si>
    <t xml:space="preserve">Adjusted EBITA, US$bn</t>
  </si>
  <si>
    <t xml:space="preserve">Yen per US$</t>
  </si>
  <si>
    <t xml:space="preserve">Adjusted EBITA, ¥bn</t>
  </si>
  <si>
    <t xml:space="preserve">Revenue, ¥bn</t>
  </si>
  <si>
    <t xml:space="preserve">Share of Hitachi, FY2026 forecast</t>
  </si>
  <si>
    <t xml:space="preserve">Hitachi Energy revenue / group revenue</t>
  </si>
  <si>
    <t xml:space="preserve">Hitachi Energy adjusted EBITA / group adjusted EBITA</t>
  </si>
  <si>
    <t xml:space="preserve">Hitachi Energy adjusted EBITA / sum of segments excluding corporate</t>
  </si>
  <si>
    <t xml:space="preserve">Hitachi's forecasts for Hitachi Energy, FY2025, as the year went on</t>
  </si>
  <si>
    <t xml:space="preserve">Date</t>
  </si>
  <si>
    <t xml:space="preserve">Margin</t>
  </si>
  <si>
    <t xml:space="preserve">28 Apr 2025</t>
  </si>
  <si>
    <t xml:space="preserve">30 Oct 2025</t>
  </si>
  <si>
    <t xml:space="preserve">29 Jan 2026</t>
  </si>
  <si>
    <t xml:space="preserve">27 Apr 2026, actual</t>
  </si>
  <si>
    <t xml:space="preserve">*FY2027E is my own estimate, not Hitachi's. FY2024 to FY2026 are Hitachi's reported figures and forecast for Hitachi Energy in US dollars.</t>
  </si>
  <si>
    <t xml:space="preserve">Hitachi's FY2027 target is about US$26bn of revenue at a 15%+ margin; its FY2030 ambition US$36bn at 16 to 20% (Investor Day, 10 June 2026).</t>
  </si>
  <si>
    <t xml:space="preserve">The yen conversion uses Hitachi's assumed ¥160 to the dollar. Power Grids BU (incl. Hitachi Energy) forecast: revenue ¥3,783.5bn, adjusted EBITA ¥550.5bn.</t>
  </si>
  <si>
    <t xml:space="preserve">SEGMENTS: ADJUSTED EBITA, FY2025A TO FY2027E (¥ BILLION)</t>
  </si>
  <si>
    <t xml:space="preserve">Part</t>
  </si>
  <si>
    <t xml:space="preserve">FY2025A revenue</t>
  </si>
  <si>
    <t xml:space="preserve">FY2026F revenue</t>
  </si>
  <si>
    <t xml:space="preserve">FY2025A EBITA</t>
  </si>
  <si>
    <t xml:space="preserve">FY2026F EBITA</t>
  </si>
  <si>
    <t xml:space="preserve">Growth*</t>
  </si>
  <si>
    <t xml:space="preserve">FY2027E EBITA*</t>
  </si>
  <si>
    <t xml:space="preserve">Hitachi Energy</t>
  </si>
  <si>
    <t xml:space="preserve">Energy, rest (mainly Nuclear Energy)</t>
  </si>
  <si>
    <t xml:space="preserve">Digital Systems &amp; Services</t>
  </si>
  <si>
    <t xml:space="preserve">Connective Industries</t>
  </si>
  <si>
    <t xml:space="preserve">Mobility</t>
  </si>
  <si>
    <t xml:space="preserve">Others</t>
  </si>
  <si>
    <t xml:space="preserve">Corporate items and eliminations</t>
  </si>
  <si>
    <t xml:space="preserve">Group total</t>
  </si>
  <si>
    <t xml:space="preserve">Check: group total against Hitachi's FY2026 forecast</t>
  </si>
  <si>
    <t xml:space="preserve">Energy segment as reported (FY2025A, FY2026F)</t>
  </si>
  <si>
    <t xml:space="preserve">*Growth rates and FY2027E are my own estimates. FY2025A is restated for the April 2026 segment changes (Q1 FY2026 supplement).</t>
  </si>
  <si>
    <t xml:space="preserve">FY2025A revenue and EBITA for Hitachi Energy alone in yen are not split here; the group FY2025A total adds back the Energy segment as reported.</t>
  </si>
  <si>
    <t xml:space="preserve">VALUATION: SUM OF THE PARTS ON FY2027E ADJUSTED EBITA</t>
  </si>
  <si>
    <t xml:space="preserve">FY2027E EBITA</t>
  </si>
  <si>
    <t xml:space="preserve">Multiple</t>
  </si>
  <si>
    <t xml:space="preserve">Value, ¥bn</t>
  </si>
  <si>
    <t xml:space="preserve">Share</t>
  </si>
  <si>
    <t xml:space="preserve">Working / note</t>
  </si>
  <si>
    <t xml:space="preserve">Energy, rest (mainly nuclear)</t>
  </si>
  <si>
    <t xml:space="preserve">Corporate costs</t>
  </si>
  <si>
    <t xml:space="preserve">Enterprise value of the parts</t>
  </si>
  <si>
    <t xml:space="preserve">Net cash: cash less interest-bearing debt, 30 June 2026</t>
  </si>
  <si>
    <t xml:space="preserve">Add equity-method investments at book</t>
  </si>
  <si>
    <t xml:space="preserve">Add other long-term investments at book</t>
  </si>
  <si>
    <t xml:space="preserve">Less non-controlling interests at book</t>
  </si>
  <si>
    <t xml:space="preserve">Less retirement and severance benefits liability</t>
  </si>
  <si>
    <t xml:space="preserve">Bridge from enterprise value to equity value</t>
  </si>
  <si>
    <t xml:space="preserve">Equity value, ¥bn</t>
  </si>
  <si>
    <t xml:space="preserve">Shares outstanding, m (issued less treasury, 30 June 2026)</t>
  </si>
  <si>
    <t xml:space="preserve">No further buybacks assumed.</t>
  </si>
  <si>
    <t xml:space="preserve">BASE VALUE PER SHARE, ¥</t>
  </si>
  <si>
    <t xml:space="preserve">Band: LONG at +15% or more, SHORT at -25% or worse, NO CALL between.</t>
  </si>
  <si>
    <t xml:space="preserve">VIEW ON THE BAND</t>
  </si>
  <si>
    <t xml:space="preserve">Tommy Lau's call, 22 October 2026: NO CALL, Medium conviction.</t>
  </si>
  <si>
    <t xml:space="preserve">Market value, ¥bn</t>
  </si>
  <si>
    <t xml:space="preserve">Adjusted enterprise value at the price, ¥bn</t>
  </si>
  <si>
    <t xml:space="preserve">Market value less the bridge items.</t>
  </si>
  <si>
    <t xml:space="preserve">EV / FY2026 forecast group adjusted EBITA</t>
  </si>
  <si>
    <t xml:space="preserve">EV / FY2027E group adjusted EBITA</t>
  </si>
  <si>
    <t xml:space="preserve">P/E on Hitachi's FY2026 EPS forecast</t>
  </si>
  <si>
    <t xml:space="preserve">P/E on FY2026 consensus EPS</t>
  </si>
  <si>
    <t xml:space="preserve">Cross-check only.</t>
  </si>
  <si>
    <t xml:space="preserve">Value the price leaves for Hitachi Energy, ¥bn</t>
  </si>
  <si>
    <t xml:space="preserve">Rest of Hitachi at my base multiples.</t>
  </si>
  <si>
    <t xml:space="preserve">That value / Hitachi Energy FY2027E EBITA</t>
  </si>
  <si>
    <t xml:space="preserve">That value in US$bn at the FY2027 rate</t>
  </si>
  <si>
    <t xml:space="preserve">Hitachi Energy multiple needed for base value 15% above price</t>
  </si>
  <si>
    <t xml:space="preserve">Price at which the base value is 15% above it, ¥</t>
  </si>
  <si>
    <t xml:space="preserve">Revisit level for a LONG.</t>
  </si>
  <si>
    <t xml:space="preserve">Price at which the base value is 25% below it, ¥</t>
  </si>
  <si>
    <t xml:space="preserve">Revisit level for a SHORT.</t>
  </si>
  <si>
    <t xml:space="preserve">Hitachi Energy share of FY2026 forecast revenue</t>
  </si>
  <si>
    <t xml:space="preserve">Hitachi Energy share of FY2026 forecast adjusted EBITA</t>
  </si>
  <si>
    <t xml:space="preserve">Hitachi Energy share of my sum of the parts equity value</t>
  </si>
  <si>
    <t xml:space="preserve">Hitachi Energy share of market value, as implied</t>
  </si>
  <si>
    <t xml:space="preserve">Price against the all-time intraday high</t>
  </si>
  <si>
    <t xml:space="preserve">¥6,039 on 10 February 2026.</t>
  </si>
  <si>
    <t xml:space="preserve">THREE CASES, TWELVE MONTHS OUT</t>
  </si>
  <si>
    <t xml:space="preserve">Case</t>
  </si>
  <si>
    <t xml:space="preserve">HE growth</t>
  </si>
  <si>
    <t xml:space="preserve">HE margin</t>
  </si>
  <si>
    <t xml:space="preserve">HE multiple</t>
  </si>
  <si>
    <t xml:space="preserve">Other multiples +/-</t>
  </si>
  <si>
    <t xml:space="preserve">HE revenue US$bn</t>
  </si>
  <si>
    <t xml:space="preserve">HE EBITA ¥bn</t>
  </si>
  <si>
    <t xml:space="preserve">Rest of Hitachi EV ¥bn</t>
  </si>
  <si>
    <t xml:space="preserve">Value, ¥</t>
  </si>
  <si>
    <t xml:space="preserve">vs price</t>
  </si>
  <si>
    <t xml:space="preserve">Bear</t>
  </si>
  <si>
    <t xml:space="preserve">Base</t>
  </si>
  <si>
    <t xml:space="preserve">Bull</t>
  </si>
  <si>
    <t xml:space="preserve">Probability</t>
  </si>
  <si>
    <t xml:space="preserve">must be 100%</t>
  </si>
  <si>
    <t xml:space="preserve">Hitachi Energy (HE) cases start from Hitachi's FY2026 forecast of US$23.65bn and convert at ¥160. The rest of Hitachi keeps my FY2027E EBITA;</t>
  </si>
  <si>
    <t xml:space="preserve">only its multiples move, two turns lower in the bear case and two higher in the bull case (corporate costs included). Same bridge and shares in every case.</t>
  </si>
  <si>
    <t xml:space="preserve">Bear: orders slow, margin flat at the FY2026 forecast, grid names de-rate to 14x. Bull: margin 16.5%, the bottom of the FY2030 range reached early, 25x.</t>
  </si>
  <si>
    <t xml:space="preserve">VALUE PER SHARE: HITACHI ENERGY FY2027E EBITA AGAINST ITS MULTIPLE (¥)</t>
  </si>
  <si>
    <t xml:space="preserve">HE EBITA (¥bn) \ multiple</t>
  </si>
  <si>
    <t xml:space="preserve">Cells above the reference price</t>
  </si>
  <si>
    <t xml:space="preserve">of 9</t>
  </si>
  <si>
    <t xml:space="preserve">Cells 15% or more above the price</t>
  </si>
  <si>
    <t xml:space="preserve">Rest of Hitachi at my base. The middle row links to the model's Hitachi Energy FY2027E EBITA and the middle column to the base multiple.</t>
  </si>
  <si>
    <t xml:space="preserve">HITACHI ENERGY ORDER BACKLOG AND THE CLAIM'S TEST</t>
  </si>
  <si>
    <t xml:space="preserve">Mar 25</t>
  </si>
  <si>
    <t xml:space="preserve">Jun 25</t>
  </si>
  <si>
    <t xml:space="preserve">Sep 25</t>
  </si>
  <si>
    <t xml:space="preserve">Dec 25</t>
  </si>
  <si>
    <t xml:space="preserve">Mar 26</t>
  </si>
  <si>
    <t xml:space="preserve">Jun 26</t>
  </si>
  <si>
    <t xml:space="preserve">Order backlog at quarter end</t>
  </si>
  <si>
    <t xml:space="preserve">Revenue over the previous four quarters (where derivable)</t>
  </si>
  <si>
    <t xml:space="preserve">Backlog / revenue over the previous four quarters</t>
  </si>
  <si>
    <t xml:space="preserve">Growth in backlog, March 2025 to June 2026</t>
  </si>
  <si>
    <t xml:space="preserve">The claim's floor</t>
  </si>
  <si>
    <t xml:space="preserve">FY2030 plan: backlog about US$100bn / revenue US$36bn</t>
  </si>
  <si>
    <t xml:space="preserve">Orders against revenue</t>
  </si>
  <si>
    <t xml:space="preserve">Year</t>
  </si>
  <si>
    <t xml:space="preserve">Orders, US$bn</t>
  </si>
  <si>
    <t xml:space="preserve">Orders / revenue</t>
  </si>
  <si>
    <t xml:space="preserve">FY2024</t>
  </si>
  <si>
    <t xml:space="preserve">FY2025</t>
  </si>
  <si>
    <t xml:space="preserve">Power Grids BU, Q1 FY2026, ¥bn: orders / revenue</t>
  </si>
  <si>
    <t xml:space="preserve">Sources: Hitachi results presentations of 28 April 2025 (US$43.6bn), 31 July 2025 (US$47.6bn), 30 October 2025 (US$49.7bn), 29 January 2026 (US$56.7bn),</t>
  </si>
  <si>
    <t xml:space="preserve">27 April 2026 (US$57.9bn; orders US$32.8bn FY2025, US$27.9bn FY2024) and 29 July 2026 (US$63.6bn; Power Grids orders ¥1,871.6bn). FY2024 revenue as first reported, US$15.7bn.</t>
  </si>
  <si>
    <t xml:space="preserve">Quarterly Hitachi Energy revenue for FY2024 is not used, so the ratio is shown only at March 2025, March 2026 and June 2026.</t>
  </si>
  <si>
    <t xml:space="preserve">PEER MULTIPLES (stockanalysis.com, RETRIEVED 22 OCTOBER 2026)</t>
  </si>
  <si>
    <t xml:space="preserve">Company</t>
  </si>
  <si>
    <t xml:space="preserve">Ticker</t>
  </si>
  <si>
    <t xml:space="preserve">Forward P/E</t>
  </si>
  <si>
    <t xml:space="preserve">EV/EBIT (trailing)</t>
  </si>
  <si>
    <t xml:space="preserve">What they make</t>
  </si>
  <si>
    <t xml:space="preserve">Hitachi</t>
  </si>
  <si>
    <t xml:space="preserve">TSE: 6501</t>
  </si>
  <si>
    <t xml:space="preserve">Grid equipment (Hitachi Energy), IT services, rail, industrial products</t>
  </si>
  <si>
    <t xml:space="preserve">Siemens Energy</t>
  </si>
  <si>
    <t xml:space="preserve">ETR: ENR</t>
  </si>
  <si>
    <t xml:space="preserve">Grid technology, gas turbines, wind turbines</t>
  </si>
  <si>
    <t xml:space="preserve">ABB</t>
  </si>
  <si>
    <t xml:space="preserve">SWX: ABBN</t>
  </si>
  <si>
    <t xml:space="preserve">Electrification and automation equipment</t>
  </si>
  <si>
    <t xml:space="preserve">Schneider Electric</t>
  </si>
  <si>
    <t xml:space="preserve">EPA: SU</t>
  </si>
  <si>
    <t xml:space="preserve">Electrical distribution, automation, data centre power</t>
  </si>
  <si>
    <t xml:space="preserve">Eaton</t>
  </si>
  <si>
    <t xml:space="preserve">NYSE: ETN</t>
  </si>
  <si>
    <t xml:space="preserve">Switchgear and power distribution, data centre electrical</t>
  </si>
  <si>
    <t xml:space="preserve">Prysmian</t>
  </si>
  <si>
    <t xml:space="preserve">BIT: PRY</t>
  </si>
  <si>
    <t xml:space="preserve">High voltage and power cable</t>
  </si>
  <si>
    <t xml:space="preserve">Fujitsu</t>
  </si>
  <si>
    <t xml:space="preserve">TSE: 6702</t>
  </si>
  <si>
    <t xml:space="preserve">IT services and systems in Japan and abroad</t>
  </si>
  <si>
    <t xml:space="preserve">NEC</t>
  </si>
  <si>
    <t xml:space="preserve">TSE: 6701</t>
  </si>
  <si>
    <t xml:space="preserve">IT services, network and public systems</t>
  </si>
  <si>
    <t xml:space="preserve">Mitsubishi Electric</t>
  </si>
  <si>
    <t xml:space="preserve">TSE: 6503</t>
  </si>
  <si>
    <t xml:space="preserve">Factory automation, building systems, power equipment</t>
  </si>
  <si>
    <t xml:space="preserve">Alstom</t>
  </si>
  <si>
    <t xml:space="preserve">EPA: ALO</t>
  </si>
  <si>
    <t xml:space="preserve">Rolling stock and rail signalling</t>
  </si>
  <si>
    <t xml:space="preserve">Grid equipment median (rows 6 to 10)</t>
  </si>
  <si>
    <t xml:space="preserve">IT services median (rows 11 to 12)</t>
  </si>
  <si>
    <t xml:space="preserve">Multiples only, to set the range of segment multiples. No view on the peers' shares is expressed. GE Vernova is left out: its</t>
  </si>
  <si>
    <t xml:space="preserve">trailing EV/EBIT of 87x reflects earnings still recovering and would distort the median.</t>
  </si>
  <si>
    <t xml:space="preserve">SOURCES</t>
  </si>
  <si>
    <t xml:space="preserve">No.</t>
  </si>
  <si>
    <t xml:space="preserve">Source and what it supports</t>
  </si>
  <si>
    <t xml:space="preserve">Hitachi, Outline of Consolidated Financial Results for the First Quarter Ended June 30, 2026, 29 July 2026 (2026_1Qpre.pdf): segment results, raised FY2026 forecast, Hitachi Energy in US$ (p23), orders and backlog (p17), FX assumptions, buybacks.</t>
  </si>
  <si>
    <t xml:space="preserve">Hitachi, Consolidated Financial Results for Q1 FY2026 and Supplemental Material (2026_1Q.pdf, 2026_1Qsup.xlsx), 29 July 2026: balance sheet, issued shares and treasury stock, restated FY2025 segments.</t>
  </si>
  <si>
    <t xml:space="preserve">Hitachi, Outline of Consolidated Financial Results for FY2025, 27 April 2026: FY2025 results, the April FY2026 forecast, Hitachi Energy FY2025 and its orders and backlog.</t>
  </si>
  <si>
    <t xml:space="preserve">Hitachi results presentations of 28 April 2025, 31 July 2025 (page 11: Hitachi Energy backlog US$47.6bn at 30 June 2025), 30 October 2025 and 29 January 2026: earlier Hitachi Energy backlog and FY2025 forecasts.</t>
  </si>
  <si>
    <t xml:space="preserve">Hitachi Investor Day 2026, Energy Business Strategy (Andreas Schierenbeck) and Q&amp;A summary, 10 June 2026: backlog ratio 2.5 to 3x, US$100bn 2030 backlog, &gt;US$9bn investment, FY2027 and FY2030 targets, DSS pricing pressure.</t>
  </si>
  <si>
    <t xml:space="preserve">Hitachi investor relations library, hitachi.com/en/ir/library/fr/: Q2 FY2026 results on 28 October 2026, webcast 17:00 to 18:00 JST.</t>
  </si>
  <si>
    <t xml:space="preserve">Yahoo Finance, 6501.T, retrieved 22 October 2026: daily and month-end closes, highs and lows (split-adjusted).</t>
  </si>
  <si>
    <t xml:space="preserve">stockanalysis.com, retrieved 22 October 2026: Hitachi consensus EPS and average target (updated 17 September 2026), peer forward P/E and trailing EV/EBIT.</t>
  </si>
  <si>
    <t xml:space="preserve">The Physical Layer, 'Hitachi Energy is spending more than $9 billion on factories, and still plans a three-year queue', 22 October 2026: https://thephysicallayer.fyi/journal/hitachi-energy-plans-the-queue/</t>
  </si>
  <si>
    <t xml:space="preserve">Estimates for FY2027 are the author's own. Personal research, not investment advice.</t>
  </si>
</sst>
</file>

<file path=xl/styles.xml><?xml version="1.0" encoding="utf-8"?>
<styleSheet xmlns="http://schemas.openxmlformats.org/spreadsheetml/2006/main">
  <numFmts count="13">
    <numFmt numFmtId="164" formatCode="General"/>
    <numFmt numFmtId="165" formatCode="\¥#,##0"/>
    <numFmt numFmtId="166" formatCode="0.0%"/>
    <numFmt numFmtId="167" formatCode="\¥#,##0.00"/>
    <numFmt numFmtId="168" formatCode="#,##0.000"/>
    <numFmt numFmtId="169" formatCode="#,##0.00"/>
    <numFmt numFmtId="170" formatCode="0\x"/>
    <numFmt numFmtId="171" formatCode="0"/>
    <numFmt numFmtId="172" formatCode="0%"/>
    <numFmt numFmtId="173" formatCode="#,##0.0"/>
    <numFmt numFmtId="174" formatCode="0.0\x"/>
    <numFmt numFmtId="175" formatCode="\+0;\-0;0"/>
    <numFmt numFmtId="176" formatCode="0.00\x"/>
  </numFmts>
  <fonts count="15">
    <font>
      <sz val="11"/>
      <color theme="1"/>
      <name val="Calibri"/>
      <family val="2"/>
      <charset val="1"/>
    </font>
    <font>
      <sz val="10"/>
      <name val="Arial"/>
      <family val="0"/>
    </font>
    <font>
      <sz val="10"/>
      <name val="Arial"/>
      <family val="0"/>
    </font>
    <font>
      <sz val="10"/>
      <name val="Arial"/>
      <family val="0"/>
    </font>
    <font>
      <b val="true"/>
      <sz val="12"/>
      <color rgb="FF1F3864"/>
      <name val="Cambria"/>
      <family val="0"/>
      <charset val="1"/>
    </font>
    <font>
      <sz val="9"/>
      <color rgb="FF595959"/>
      <name val="Cambria"/>
      <family val="0"/>
      <charset val="1"/>
    </font>
    <font>
      <b val="true"/>
      <sz val="10"/>
      <color rgb="FFFFFFFF"/>
      <name val="Cambria"/>
      <family val="0"/>
      <charset val="1"/>
    </font>
    <font>
      <b val="true"/>
      <sz val="11"/>
      <name val="Cambria"/>
      <family val="0"/>
      <charset val="1"/>
    </font>
    <font>
      <sz val="11"/>
      <color rgb="FF008000"/>
      <name val="Cambria"/>
      <family val="0"/>
      <charset val="1"/>
    </font>
    <font>
      <sz val="11"/>
      <color rgb="FF0000FF"/>
      <name val="Cambria"/>
      <family val="0"/>
      <charset val="1"/>
    </font>
    <font>
      <b val="true"/>
      <sz val="11"/>
      <color rgb="FF1F3864"/>
      <name val="Cambria"/>
      <family val="0"/>
      <charset val="1"/>
    </font>
    <font>
      <i val="true"/>
      <sz val="9"/>
      <color rgb="FF595959"/>
      <name val="Cambria"/>
      <family val="0"/>
      <charset val="1"/>
    </font>
    <font>
      <b val="true"/>
      <sz val="11"/>
      <color rgb="FF0000FF"/>
      <name val="Cambria"/>
      <family val="0"/>
      <charset val="1"/>
    </font>
    <font>
      <sz val="11"/>
      <name val="Cambria"/>
      <family val="0"/>
      <charset val="1"/>
    </font>
    <font>
      <b val="true"/>
      <sz val="11"/>
      <color rgb="FFFFFFFF"/>
      <name val="Cambria"/>
      <family val="0"/>
      <charset val="1"/>
    </font>
  </fonts>
  <fills count="5">
    <fill>
      <patternFill patternType="none"/>
    </fill>
    <fill>
      <patternFill patternType="gray125"/>
    </fill>
    <fill>
      <patternFill patternType="solid">
        <fgColor rgb="FF1F3864"/>
        <bgColor rgb="FF333333"/>
      </patternFill>
    </fill>
    <fill>
      <patternFill patternType="solid">
        <fgColor rgb="FFFFFF00"/>
        <bgColor rgb="FFFFFF00"/>
      </patternFill>
    </fill>
    <fill>
      <patternFill patternType="solid">
        <fgColor rgb="FFD9E2F3"/>
        <bgColor rgb="FFCCFFF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left" vertical="center" textRotation="0" wrapText="true" indent="0" shrinkToFit="false"/>
      <protection locked="true" hidden="false"/>
    </xf>
    <xf numFmtId="164" fontId="6" fillId="2" borderId="0" xfId="0" applyFont="true" applyBorder="false" applyAlignment="true" applyProtection="false">
      <alignment horizontal="right" vertical="center"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right"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5" fontId="8" fillId="0" borderId="0" xfId="0" applyFont="true" applyBorder="false" applyAlignment="true" applyProtection="false">
      <alignment horizontal="right" vertical="bottom" textRotation="0" wrapText="false" indent="0" shrinkToFit="false"/>
      <protection locked="true" hidden="false"/>
    </xf>
    <xf numFmtId="166" fontId="8" fillId="0" borderId="0" xfId="0" applyFont="true" applyBorder="false" applyAlignment="true" applyProtection="false">
      <alignment horizontal="right" vertical="bottom" textRotation="0" wrapText="false" indent="0" shrinkToFit="false"/>
      <protection locked="true" hidden="false"/>
    </xf>
    <xf numFmtId="164" fontId="9" fillId="0" borderId="0" xfId="0" applyFont="true" applyBorder="false" applyAlignment="true" applyProtection="false">
      <alignment horizontal="right"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68" fontId="9" fillId="0" borderId="0" xfId="0" applyFont="true" applyBorder="false" applyAlignment="false" applyProtection="false">
      <alignment horizontal="general" vertical="bottom" textRotation="0" wrapText="false" indent="0" shrinkToFit="false"/>
      <protection locked="true" hidden="false"/>
    </xf>
    <xf numFmtId="169" fontId="9" fillId="0"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6" fontId="12" fillId="3" borderId="0" xfId="0" applyFont="true" applyBorder="false" applyAlignment="false" applyProtection="false">
      <alignment horizontal="general" vertical="bottom" textRotation="0" wrapText="false" indent="0" shrinkToFit="false"/>
      <protection locked="true" hidden="false"/>
    </xf>
    <xf numFmtId="167" fontId="12" fillId="3" borderId="0" xfId="0" applyFont="true" applyBorder="false" applyAlignment="false" applyProtection="false">
      <alignment horizontal="general" vertical="bottom" textRotation="0" wrapText="false" indent="0" shrinkToFit="false"/>
      <protection locked="true" hidden="false"/>
    </xf>
    <xf numFmtId="169" fontId="12" fillId="3" borderId="0" xfId="0" applyFont="true" applyBorder="false" applyAlignment="false" applyProtection="false">
      <alignment horizontal="general" vertical="bottom" textRotation="0" wrapText="false" indent="0" shrinkToFit="false"/>
      <protection locked="true" hidden="false"/>
    </xf>
    <xf numFmtId="170" fontId="12" fillId="3" borderId="0" xfId="0" applyFont="true" applyBorder="false" applyAlignment="false" applyProtection="false">
      <alignment horizontal="general" vertical="bottom" textRotation="0" wrapText="false" indent="0" shrinkToFit="false"/>
      <protection locked="true" hidden="false"/>
    </xf>
    <xf numFmtId="169" fontId="8" fillId="0" borderId="0" xfId="0" applyFont="true" applyBorder="false" applyAlignment="true" applyProtection="false">
      <alignment horizontal="right" vertical="bottom" textRotation="0" wrapText="false" indent="0" shrinkToFit="false"/>
      <protection locked="true" hidden="false"/>
    </xf>
    <xf numFmtId="169" fontId="0" fillId="0" borderId="0" xfId="0" applyFont="false" applyBorder="false" applyAlignment="true" applyProtection="false">
      <alignment horizontal="right"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true" applyProtection="false">
      <alignment horizontal="right" vertical="bottom" textRotation="0" wrapText="false" indent="0" shrinkToFit="false"/>
      <protection locked="true" hidden="false"/>
    </xf>
    <xf numFmtId="168" fontId="8" fillId="0" borderId="0" xfId="0" applyFont="true" applyBorder="false" applyAlignment="true" applyProtection="false">
      <alignment horizontal="right" vertical="bottom" textRotation="0" wrapText="false" indent="0" shrinkToFit="false"/>
      <protection locked="true" hidden="false"/>
    </xf>
    <xf numFmtId="168" fontId="0" fillId="0" borderId="0" xfId="0" applyFont="false" applyBorder="false" applyAlignment="true" applyProtection="false">
      <alignment horizontal="right" vertical="bottom" textRotation="0" wrapText="false" indent="0" shrinkToFit="false"/>
      <protection locked="true" hidden="false"/>
    </xf>
    <xf numFmtId="171" fontId="0" fillId="0" borderId="0" xfId="0" applyFont="false" applyBorder="false" applyAlignment="true" applyProtection="false">
      <alignment horizontal="right" vertical="bottom" textRotation="0" wrapText="false" indent="0" shrinkToFit="false"/>
      <protection locked="true" hidden="false"/>
    </xf>
    <xf numFmtId="171" fontId="8" fillId="0" borderId="0" xfId="0" applyFont="true" applyBorder="false" applyAlignment="true" applyProtection="false">
      <alignment horizontal="right"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69" fontId="8" fillId="0" borderId="0" xfId="0" applyFont="true" applyBorder="false" applyAlignment="false" applyProtection="false">
      <alignment horizontal="general" vertical="bottom" textRotation="0" wrapText="false" indent="0" shrinkToFit="false"/>
      <protection locked="true" hidden="false"/>
    </xf>
    <xf numFmtId="170" fontId="8" fillId="0" borderId="0" xfId="0" applyFont="true" applyBorder="false" applyAlignment="false" applyProtection="false">
      <alignment horizontal="general" vertical="bottom" textRotation="0" wrapText="false" indent="0" shrinkToFit="false"/>
      <protection locked="true" hidden="false"/>
    </xf>
    <xf numFmtId="172" fontId="0" fillId="0" borderId="0" xfId="0" applyFont="false" applyBorder="false" applyAlignment="false" applyProtection="false">
      <alignment horizontal="general" vertical="bottom" textRotation="0" wrapText="false" indent="0" shrinkToFit="false"/>
      <protection locked="true" hidden="false"/>
    </xf>
    <xf numFmtId="173" fontId="8" fillId="0"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7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75" fontId="12" fillId="3" borderId="0" xfId="0" applyFont="true" applyBorder="fals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72" fontId="12" fillId="3" borderId="0" xfId="0" applyFont="true" applyBorder="false" applyAlignment="false" applyProtection="false">
      <alignment horizontal="general" vertical="bottom" textRotation="0" wrapText="false" indent="0" shrinkToFit="false"/>
      <protection locked="true" hidden="false"/>
    </xf>
    <xf numFmtId="170" fontId="14" fillId="2" borderId="0" xfId="0" applyFont="true" applyBorder="false" applyAlignment="true" applyProtection="false">
      <alignment horizontal="right" vertical="bottom" textRotation="0" wrapText="false" indent="0" shrinkToFit="false"/>
      <protection locked="true" hidden="false"/>
    </xf>
    <xf numFmtId="165" fontId="0" fillId="4" borderId="0" xfId="0" applyFont="false" applyBorder="false" applyAlignment="false" applyProtection="false">
      <alignment horizontal="general" vertical="bottom" textRotation="0" wrapText="false" indent="0" shrinkToFit="false"/>
      <protection locked="true" hidden="false"/>
    </xf>
    <xf numFmtId="176" fontId="0" fillId="0" borderId="0" xfId="0" applyFont="false" applyBorder="false" applyAlignment="false" applyProtection="false">
      <alignment horizontal="general" vertical="bottom" textRotation="0" wrapText="false" indent="0" shrinkToFit="false"/>
      <protection locked="true" hidden="false"/>
    </xf>
    <xf numFmtId="174" fontId="9"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40"/>
    <col collapsed="false" customWidth="true" hidden="false" outlineLevel="0" max="2" min="2" style="0" width="24"/>
    <col collapsed="false" customWidth="true" hidden="false" outlineLevel="0" max="3" min="3" style="0" width="90"/>
  </cols>
  <sheetData>
    <row r="1" customFormat="false" ht="1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c r="B4" s="4" t="s">
        <v>3</v>
      </c>
      <c r="C4" s="4" t="s">
        <v>4</v>
      </c>
    </row>
    <row r="5" customFormat="false" ht="15" hidden="false" customHeight="false" outlineLevel="0" collapsed="false">
      <c r="A5" s="5" t="s">
        <v>5</v>
      </c>
      <c r="B5" s="6" t="str">
        <f aca="false">Valuation!D24</f>
        <v>NO CALL</v>
      </c>
      <c r="C5" s="7" t="s">
        <v>6</v>
      </c>
    </row>
    <row r="6" customFormat="false" ht="15" hidden="false" customHeight="false" outlineLevel="0" collapsed="false">
      <c r="A6" s="5" t="s">
        <v>7</v>
      </c>
      <c r="B6" s="8" t="n">
        <f aca="false">Valuation!D21</f>
        <v>6431.84396652856</v>
      </c>
      <c r="C6" s="7" t="s">
        <v>8</v>
      </c>
    </row>
    <row r="7" customFormat="false" ht="15" hidden="false" customHeight="false" outlineLevel="0" collapsed="false">
      <c r="A7" s="5" t="s">
        <v>9</v>
      </c>
      <c r="B7" s="8" t="n">
        <f aca="false">Assumptions!$B$7</f>
        <v>5840</v>
      </c>
      <c r="C7" s="7" t="s">
        <v>10</v>
      </c>
    </row>
    <row r="8" customFormat="false" ht="15" hidden="false" customHeight="false" outlineLevel="0" collapsed="false">
      <c r="A8" s="5" t="s">
        <v>11</v>
      </c>
      <c r="B8" s="9" t="n">
        <f aca="false">Valuation!D23</f>
        <v>0.101343144953521</v>
      </c>
      <c r="C8" s="7"/>
    </row>
    <row r="9" customFormat="false" ht="15" hidden="false" customHeight="false" outlineLevel="0" collapsed="false">
      <c r="A9" s="5" t="s">
        <v>12</v>
      </c>
      <c r="B9" s="8" t="n">
        <f aca="false">Scenarios!E11</f>
        <v>6439.7805338725</v>
      </c>
      <c r="C9" s="7" t="s">
        <v>13</v>
      </c>
    </row>
    <row r="10" customFormat="false" ht="15" hidden="false" customHeight="false" outlineLevel="0" collapsed="false">
      <c r="A10" s="5" t="s">
        <v>14</v>
      </c>
      <c r="B10" s="9" t="n">
        <f aca="false">Valuation!D40</f>
        <v>0.456867062776636</v>
      </c>
      <c r="C10" s="7"/>
    </row>
    <row r="11" customFormat="false" ht="15" hidden="false" customHeight="false" outlineLevel="0" collapsed="false">
      <c r="A11" s="5" t="s">
        <v>15</v>
      </c>
      <c r="B11" s="10" t="s">
        <v>16</v>
      </c>
      <c r="C11" s="7" t="s">
        <v>17</v>
      </c>
    </row>
    <row r="12" customFormat="false" ht="15" hidden="false" customHeight="false" outlineLevel="0" collapsed="false">
      <c r="A12" s="5" t="s">
        <v>18</v>
      </c>
      <c r="B12" s="10" t="s">
        <v>19</v>
      </c>
      <c r="C12" s="7"/>
    </row>
    <row r="13" customFormat="false" ht="31.5" hidden="false" customHeight="true" outlineLevel="0" collapsed="false">
      <c r="A13" s="5" t="s">
        <v>20</v>
      </c>
      <c r="B13" s="10" t="s">
        <v>21</v>
      </c>
      <c r="C13" s="7" t="s">
        <v>22</v>
      </c>
    </row>
    <row r="14" customFormat="false" ht="43.5" hidden="false" customHeight="true" outlineLevel="0" collapsed="false">
      <c r="A14" s="5" t="s">
        <v>23</v>
      </c>
      <c r="B14" s="10" t="s">
        <v>21</v>
      </c>
      <c r="C14" s="7" t="s">
        <v>24</v>
      </c>
    </row>
    <row r="17" customFormat="false" ht="15" hidden="false" customHeight="false" outlineLevel="0" collapsed="false">
      <c r="A17" s="11" t="s">
        <v>25</v>
      </c>
    </row>
    <row r="18" customFormat="false" ht="15" hidden="false" customHeight="false" outlineLevel="0" collapsed="false">
      <c r="A18" s="0" t="s">
        <v>26</v>
      </c>
      <c r="B18" s="0" t="s">
        <v>27</v>
      </c>
    </row>
    <row r="19" customFormat="false" ht="15" hidden="false" customHeight="false" outlineLevel="0" collapsed="false">
      <c r="A19" s="0" t="s">
        <v>28</v>
      </c>
      <c r="B19" s="0" t="s">
        <v>29</v>
      </c>
    </row>
    <row r="20" customFormat="false" ht="15" hidden="false" customHeight="false" outlineLevel="0" collapsed="false">
      <c r="A20" s="0" t="s">
        <v>30</v>
      </c>
      <c r="B20" s="0" t="s">
        <v>31</v>
      </c>
    </row>
    <row r="21" customFormat="false" ht="15" hidden="false" customHeight="false" outlineLevel="0" collapsed="false">
      <c r="A21" s="0" t="s">
        <v>32</v>
      </c>
      <c r="B21" s="0" t="s">
        <v>33</v>
      </c>
    </row>
    <row r="22" customFormat="false" ht="15" hidden="false" customHeight="false" outlineLevel="0" collapsed="false">
      <c r="A22" s="0" t="s">
        <v>34</v>
      </c>
      <c r="B22" s="0" t="s">
        <v>35</v>
      </c>
    </row>
    <row r="23" customFormat="false" ht="15" hidden="false" customHeight="false" outlineLevel="0" collapsed="false">
      <c r="A23" s="0" t="s">
        <v>36</v>
      </c>
      <c r="B23" s="0" t="s">
        <v>37</v>
      </c>
    </row>
    <row r="24" customFormat="false" ht="15" hidden="false" customHeight="false" outlineLevel="0" collapsed="false">
      <c r="A24" s="0" t="s">
        <v>38</v>
      </c>
      <c r="B24" s="0" t="s">
        <v>39</v>
      </c>
    </row>
    <row r="25" customFormat="false" ht="15" hidden="false" customHeight="false" outlineLevel="0" collapsed="false">
      <c r="A25" s="0" t="s">
        <v>40</v>
      </c>
      <c r="B25" s="0" t="s">
        <v>41</v>
      </c>
    </row>
    <row r="26" customFormat="false" ht="15" hidden="false" customHeight="false" outlineLevel="0" collapsed="false">
      <c r="A26" s="0" t="s">
        <v>42</v>
      </c>
      <c r="B26" s="0" t="s">
        <v>43</v>
      </c>
    </row>
    <row r="28" customFormat="false" ht="15" hidden="false" customHeight="false" outlineLevel="0" collapsed="false">
      <c r="A28" s="12" t="s">
        <v>44</v>
      </c>
    </row>
    <row r="29" customFormat="false" ht="15" hidden="false" customHeight="false" outlineLevel="0" collapsed="false">
      <c r="A29" s="12" t="s">
        <v>45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8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52"/>
    <col collapsed="false" customWidth="true" hidden="false" outlineLevel="0" max="2" min="2" style="0" width="14"/>
    <col collapsed="false" customWidth="true" hidden="false" outlineLevel="0" max="3" min="3" style="0" width="10"/>
    <col collapsed="false" customWidth="true" hidden="false" outlineLevel="0" max="4" min="4" style="0" width="100"/>
  </cols>
  <sheetData>
    <row r="1" customFormat="false" ht="15" hidden="false" customHeight="false" outlineLevel="0" collapsed="false">
      <c r="A1" s="1" t="s">
        <v>46</v>
      </c>
    </row>
    <row r="2" customFormat="false" ht="15" hidden="false" customHeight="false" outlineLevel="0" collapsed="false">
      <c r="A2" s="2" t="s">
        <v>1</v>
      </c>
    </row>
    <row r="3" customFormat="false" ht="15" hidden="false" customHeight="false" outlineLevel="0" collapsed="false">
      <c r="A3" s="12" t="s">
        <v>47</v>
      </c>
    </row>
    <row r="5" customFormat="false" ht="15" hidden="false" customHeight="false" outlineLevel="0" collapsed="false">
      <c r="A5" s="3" t="s">
        <v>48</v>
      </c>
      <c r="B5" s="4" t="s">
        <v>3</v>
      </c>
      <c r="C5" s="4" t="s">
        <v>49</v>
      </c>
      <c r="D5" s="4" t="s">
        <v>50</v>
      </c>
    </row>
    <row r="6" customFormat="false" ht="15" hidden="false" customHeight="false" outlineLevel="0" collapsed="false">
      <c r="A6" s="11" t="s">
        <v>51</v>
      </c>
    </row>
    <row r="7" customFormat="false" ht="15" hidden="false" customHeight="false" outlineLevel="0" collapsed="false">
      <c r="A7" s="0" t="s">
        <v>52</v>
      </c>
      <c r="B7" s="13" t="n">
        <v>5840</v>
      </c>
      <c r="C7" s="0" t="s">
        <v>53</v>
      </c>
      <c r="D7" s="7" t="s">
        <v>54</v>
      </c>
    </row>
    <row r="8" customFormat="false" ht="15" hidden="false" customHeight="false" outlineLevel="0" collapsed="false">
      <c r="A8" s="0" t="s">
        <v>55</v>
      </c>
      <c r="B8" s="13" t="n">
        <v>6039</v>
      </c>
      <c r="C8" s="0" t="s">
        <v>53</v>
      </c>
      <c r="D8" s="7" t="s">
        <v>56</v>
      </c>
    </row>
    <row r="9" customFormat="false" ht="15" hidden="false" customHeight="false" outlineLevel="0" collapsed="false">
      <c r="A9" s="0" t="s">
        <v>57</v>
      </c>
      <c r="B9" s="14" t="n">
        <v>4535.560985</v>
      </c>
      <c r="C9" s="0" t="s">
        <v>58</v>
      </c>
      <c r="D9" s="7" t="s">
        <v>59</v>
      </c>
    </row>
    <row r="10" customFormat="false" ht="15" hidden="false" customHeight="false" outlineLevel="0" collapsed="false">
      <c r="A10" s="0" t="s">
        <v>60</v>
      </c>
      <c r="B10" s="14" t="n">
        <v>64.552492</v>
      </c>
      <c r="C10" s="0" t="s">
        <v>58</v>
      </c>
      <c r="D10" s="7" t="s">
        <v>61</v>
      </c>
    </row>
    <row r="11" customFormat="false" ht="15" hidden="false" customHeight="false" outlineLevel="0" collapsed="false">
      <c r="A11" s="0" t="s">
        <v>62</v>
      </c>
      <c r="B11" s="15" t="n">
        <v>1504.496</v>
      </c>
      <c r="C11" s="0" t="s">
        <v>63</v>
      </c>
      <c r="D11" s="7" t="s">
        <v>64</v>
      </c>
    </row>
    <row r="12" customFormat="false" ht="15" hidden="false" customHeight="false" outlineLevel="0" collapsed="false">
      <c r="A12" s="0" t="s">
        <v>65</v>
      </c>
      <c r="B12" s="15" t="n">
        <v>1056.927</v>
      </c>
      <c r="C12" s="0" t="s">
        <v>63</v>
      </c>
      <c r="D12" s="7" t="s">
        <v>66</v>
      </c>
    </row>
    <row r="13" customFormat="false" ht="15" hidden="false" customHeight="false" outlineLevel="0" collapsed="false">
      <c r="A13" s="0" t="s">
        <v>67</v>
      </c>
      <c r="B13" s="15" t="n">
        <v>615.565</v>
      </c>
      <c r="C13" s="0" t="s">
        <v>63</v>
      </c>
      <c r="D13" s="7" t="s">
        <v>68</v>
      </c>
    </row>
    <row r="14" customFormat="false" ht="15" hidden="false" customHeight="false" outlineLevel="0" collapsed="false">
      <c r="A14" s="0" t="s">
        <v>69</v>
      </c>
      <c r="B14" s="15" t="n">
        <v>513.273</v>
      </c>
      <c r="C14" s="0" t="s">
        <v>63</v>
      </c>
      <c r="D14" s="7" t="s">
        <v>68</v>
      </c>
    </row>
    <row r="15" customFormat="false" ht="15" hidden="false" customHeight="false" outlineLevel="0" collapsed="false">
      <c r="A15" s="0" t="s">
        <v>70</v>
      </c>
      <c r="B15" s="15" t="n">
        <v>189.101</v>
      </c>
      <c r="C15" s="0" t="s">
        <v>63</v>
      </c>
      <c r="D15" s="7" t="s">
        <v>71</v>
      </c>
    </row>
    <row r="16" customFormat="false" ht="15" hidden="false" customHeight="false" outlineLevel="0" collapsed="false">
      <c r="A16" s="0" t="s">
        <v>72</v>
      </c>
      <c r="B16" s="15" t="n">
        <v>233.475</v>
      </c>
      <c r="C16" s="0" t="s">
        <v>63</v>
      </c>
      <c r="D16" s="7" t="s">
        <v>73</v>
      </c>
    </row>
    <row r="17" customFormat="false" ht="15" hidden="false" customHeight="false" outlineLevel="0" collapsed="false">
      <c r="A17" s="0" t="s">
        <v>74</v>
      </c>
      <c r="B17" s="13" t="n">
        <v>201.14</v>
      </c>
      <c r="C17" s="0" t="s">
        <v>53</v>
      </c>
      <c r="D17" s="7" t="s">
        <v>75</v>
      </c>
    </row>
    <row r="18" customFormat="false" ht="15" hidden="false" customHeight="false" outlineLevel="0" collapsed="false">
      <c r="A18" s="0" t="s">
        <v>76</v>
      </c>
      <c r="B18" s="13" t="n">
        <v>216.65</v>
      </c>
      <c r="C18" s="0" t="s">
        <v>53</v>
      </c>
      <c r="D18" s="7" t="s">
        <v>77</v>
      </c>
    </row>
    <row r="19" customFormat="false" ht="15" hidden="false" customHeight="false" outlineLevel="0" collapsed="false">
      <c r="A19" s="0" t="s">
        <v>78</v>
      </c>
      <c r="B19" s="13" t="n">
        <v>6600</v>
      </c>
      <c r="C19" s="0" t="s">
        <v>53</v>
      </c>
      <c r="D19" s="7" t="s">
        <v>79</v>
      </c>
    </row>
    <row r="20" customFormat="false" ht="15" hidden="false" customHeight="false" outlineLevel="0" collapsed="false">
      <c r="A20" s="11" t="s">
        <v>80</v>
      </c>
    </row>
    <row r="21" customFormat="false" ht="15" hidden="false" customHeight="false" outlineLevel="0" collapsed="false">
      <c r="A21" s="0" t="s">
        <v>81</v>
      </c>
      <c r="B21" s="15" t="n">
        <v>10586.7</v>
      </c>
      <c r="C21" s="0" t="s">
        <v>63</v>
      </c>
      <c r="D21" s="7" t="s">
        <v>82</v>
      </c>
    </row>
    <row r="22" customFormat="false" ht="15" hidden="false" customHeight="false" outlineLevel="0" collapsed="false">
      <c r="A22" s="0" t="s">
        <v>83</v>
      </c>
      <c r="B22" s="15" t="n">
        <v>1311.4</v>
      </c>
      <c r="C22" s="0" t="s">
        <v>63</v>
      </c>
      <c r="D22" s="7" t="s">
        <v>84</v>
      </c>
    </row>
    <row r="23" customFormat="false" ht="15" hidden="false" customHeight="false" outlineLevel="0" collapsed="false">
      <c r="A23" s="0" t="s">
        <v>85</v>
      </c>
      <c r="B23" s="15" t="n">
        <v>11700</v>
      </c>
      <c r="C23" s="0" t="s">
        <v>63</v>
      </c>
      <c r="D23" s="7" t="s">
        <v>86</v>
      </c>
    </row>
    <row r="24" customFormat="false" ht="15" hidden="false" customHeight="false" outlineLevel="0" collapsed="false">
      <c r="A24" s="0" t="s">
        <v>87</v>
      </c>
      <c r="B24" s="15" t="n">
        <v>1520</v>
      </c>
      <c r="C24" s="0" t="s">
        <v>63</v>
      </c>
      <c r="D24" s="7" t="s">
        <v>88</v>
      </c>
    </row>
    <row r="25" customFormat="false" ht="15" hidden="false" customHeight="false" outlineLevel="0" collapsed="false">
      <c r="A25" s="0" t="s">
        <v>89</v>
      </c>
      <c r="B25" s="15" t="n">
        <v>3068.3</v>
      </c>
      <c r="C25" s="0" t="s">
        <v>63</v>
      </c>
      <c r="D25" s="7" t="s">
        <v>90</v>
      </c>
    </row>
    <row r="26" customFormat="false" ht="15" hidden="false" customHeight="false" outlineLevel="0" collapsed="false">
      <c r="A26" s="0" t="s">
        <v>91</v>
      </c>
      <c r="B26" s="15" t="n">
        <v>477.1</v>
      </c>
      <c r="C26" s="0" t="s">
        <v>63</v>
      </c>
      <c r="D26" s="7" t="s">
        <v>92</v>
      </c>
    </row>
    <row r="27" customFormat="false" ht="15" hidden="false" customHeight="false" outlineLevel="0" collapsed="false">
      <c r="A27" s="0" t="s">
        <v>93</v>
      </c>
      <c r="B27" s="15" t="n">
        <v>3220</v>
      </c>
      <c r="C27" s="0" t="s">
        <v>63</v>
      </c>
      <c r="D27" s="7" t="s">
        <v>94</v>
      </c>
    </row>
    <row r="28" customFormat="false" ht="15" hidden="false" customHeight="false" outlineLevel="0" collapsed="false">
      <c r="A28" s="0" t="s">
        <v>95</v>
      </c>
      <c r="B28" s="15" t="n">
        <v>508</v>
      </c>
      <c r="C28" s="0" t="s">
        <v>63</v>
      </c>
      <c r="D28" s="7" t="s">
        <v>94</v>
      </c>
    </row>
    <row r="29" customFormat="false" ht="15" hidden="false" customHeight="false" outlineLevel="0" collapsed="false">
      <c r="A29" s="0" t="s">
        <v>96</v>
      </c>
      <c r="B29" s="15" t="n">
        <v>3219.9</v>
      </c>
      <c r="C29" s="0" t="s">
        <v>63</v>
      </c>
      <c r="D29" s="7" t="s">
        <v>90</v>
      </c>
    </row>
    <row r="30" customFormat="false" ht="15" hidden="false" customHeight="false" outlineLevel="0" collapsed="false">
      <c r="A30" s="0" t="s">
        <v>97</v>
      </c>
      <c r="B30" s="15" t="n">
        <v>416</v>
      </c>
      <c r="C30" s="0" t="s">
        <v>63</v>
      </c>
      <c r="D30" s="7" t="s">
        <v>92</v>
      </c>
    </row>
    <row r="31" customFormat="false" ht="15" hidden="false" customHeight="false" outlineLevel="0" collapsed="false">
      <c r="A31" s="0" t="s">
        <v>98</v>
      </c>
      <c r="B31" s="15" t="n">
        <v>4060</v>
      </c>
      <c r="C31" s="0" t="s">
        <v>63</v>
      </c>
      <c r="D31" s="7" t="s">
        <v>94</v>
      </c>
    </row>
    <row r="32" customFormat="false" ht="15" hidden="false" customHeight="false" outlineLevel="0" collapsed="false">
      <c r="A32" s="0" t="s">
        <v>99</v>
      </c>
      <c r="B32" s="15" t="n">
        <v>576</v>
      </c>
      <c r="C32" s="0" t="s">
        <v>63</v>
      </c>
      <c r="D32" s="7" t="s">
        <v>94</v>
      </c>
    </row>
    <row r="33" customFormat="false" ht="15" hidden="false" customHeight="false" outlineLevel="0" collapsed="false">
      <c r="A33" s="0" t="s">
        <v>100</v>
      </c>
      <c r="B33" s="15" t="n">
        <v>1321.5</v>
      </c>
      <c r="C33" s="0" t="s">
        <v>63</v>
      </c>
      <c r="D33" s="7" t="s">
        <v>90</v>
      </c>
    </row>
    <row r="34" customFormat="false" ht="15" hidden="false" customHeight="false" outlineLevel="0" collapsed="false">
      <c r="A34" s="0" t="s">
        <v>101</v>
      </c>
      <c r="B34" s="15" t="n">
        <v>108.1</v>
      </c>
      <c r="C34" s="0" t="s">
        <v>63</v>
      </c>
      <c r="D34" s="7" t="s">
        <v>92</v>
      </c>
    </row>
    <row r="35" customFormat="false" ht="15" hidden="false" customHeight="false" outlineLevel="0" collapsed="false">
      <c r="A35" s="0" t="s">
        <v>102</v>
      </c>
      <c r="B35" s="15" t="n">
        <v>1450</v>
      </c>
      <c r="C35" s="0" t="s">
        <v>63</v>
      </c>
      <c r="D35" s="7" t="s">
        <v>94</v>
      </c>
    </row>
    <row r="36" customFormat="false" ht="15" hidden="false" customHeight="false" outlineLevel="0" collapsed="false">
      <c r="A36" s="0" t="s">
        <v>103</v>
      </c>
      <c r="B36" s="15" t="n">
        <v>136</v>
      </c>
      <c r="C36" s="0" t="s">
        <v>63</v>
      </c>
      <c r="D36" s="7" t="s">
        <v>94</v>
      </c>
    </row>
    <row r="37" customFormat="false" ht="15" hidden="false" customHeight="false" outlineLevel="0" collapsed="false">
      <c r="A37" s="0" t="s">
        <v>104</v>
      </c>
      <c r="B37" s="15" t="n">
        <v>3086</v>
      </c>
      <c r="C37" s="0" t="s">
        <v>63</v>
      </c>
      <c r="D37" s="7" t="s">
        <v>90</v>
      </c>
    </row>
    <row r="38" customFormat="false" ht="15" hidden="false" customHeight="false" outlineLevel="0" collapsed="false">
      <c r="A38" s="0" t="s">
        <v>105</v>
      </c>
      <c r="B38" s="15" t="n">
        <v>340.3</v>
      </c>
      <c r="C38" s="0" t="s">
        <v>63</v>
      </c>
      <c r="D38" s="7" t="s">
        <v>92</v>
      </c>
    </row>
    <row r="39" customFormat="false" ht="15" hidden="false" customHeight="false" outlineLevel="0" collapsed="false">
      <c r="A39" s="0" t="s">
        <v>106</v>
      </c>
      <c r="B39" s="15" t="n">
        <v>3250</v>
      </c>
      <c r="C39" s="0" t="s">
        <v>63</v>
      </c>
      <c r="D39" s="7" t="s">
        <v>94</v>
      </c>
    </row>
    <row r="40" customFormat="false" ht="15" hidden="false" customHeight="false" outlineLevel="0" collapsed="false">
      <c r="A40" s="0" t="s">
        <v>107</v>
      </c>
      <c r="B40" s="15" t="n">
        <v>385</v>
      </c>
      <c r="C40" s="0" t="s">
        <v>63</v>
      </c>
      <c r="D40" s="7" t="s">
        <v>94</v>
      </c>
    </row>
    <row r="41" customFormat="false" ht="15" hidden="false" customHeight="false" outlineLevel="0" collapsed="false">
      <c r="A41" s="0" t="s">
        <v>108</v>
      </c>
      <c r="B41" s="15" t="n">
        <v>531</v>
      </c>
      <c r="C41" s="0" t="s">
        <v>63</v>
      </c>
      <c r="D41" s="7" t="s">
        <v>90</v>
      </c>
    </row>
    <row r="42" customFormat="false" ht="15" hidden="false" customHeight="false" outlineLevel="0" collapsed="false">
      <c r="A42" s="0" t="s">
        <v>109</v>
      </c>
      <c r="B42" s="15" t="n">
        <v>22.9</v>
      </c>
      <c r="C42" s="0" t="s">
        <v>63</v>
      </c>
      <c r="D42" s="7" t="s">
        <v>92</v>
      </c>
    </row>
    <row r="43" customFormat="false" ht="15" hidden="false" customHeight="false" outlineLevel="0" collapsed="false">
      <c r="A43" s="0" t="s">
        <v>110</v>
      </c>
      <c r="B43" s="15" t="n">
        <v>500</v>
      </c>
      <c r="C43" s="0" t="s">
        <v>63</v>
      </c>
      <c r="D43" s="7" t="s">
        <v>94</v>
      </c>
    </row>
    <row r="44" customFormat="false" ht="15" hidden="false" customHeight="false" outlineLevel="0" collapsed="false">
      <c r="A44" s="0" t="s">
        <v>111</v>
      </c>
      <c r="B44" s="15" t="n">
        <v>11</v>
      </c>
      <c r="C44" s="0" t="s">
        <v>63</v>
      </c>
      <c r="D44" s="7" t="s">
        <v>94</v>
      </c>
    </row>
    <row r="45" customFormat="false" ht="15" hidden="false" customHeight="false" outlineLevel="0" collapsed="false">
      <c r="A45" s="0" t="s">
        <v>112</v>
      </c>
      <c r="B45" s="15" t="n">
        <v>-640.1</v>
      </c>
      <c r="C45" s="0" t="s">
        <v>63</v>
      </c>
      <c r="D45" s="7" t="s">
        <v>90</v>
      </c>
    </row>
    <row r="46" customFormat="false" ht="15" hidden="false" customHeight="false" outlineLevel="0" collapsed="false">
      <c r="A46" s="0" t="s">
        <v>113</v>
      </c>
      <c r="B46" s="15" t="n">
        <v>-53.1</v>
      </c>
      <c r="C46" s="0" t="s">
        <v>63</v>
      </c>
      <c r="D46" s="7" t="s">
        <v>92</v>
      </c>
    </row>
    <row r="47" customFormat="false" ht="15" hidden="false" customHeight="false" outlineLevel="0" collapsed="false">
      <c r="A47" s="0" t="s">
        <v>114</v>
      </c>
      <c r="B47" s="15" t="n">
        <v>-780</v>
      </c>
      <c r="C47" s="0" t="s">
        <v>63</v>
      </c>
      <c r="D47" s="7" t="s">
        <v>94</v>
      </c>
    </row>
    <row r="48" customFormat="false" ht="15" hidden="false" customHeight="false" outlineLevel="0" collapsed="false">
      <c r="A48" s="0" t="s">
        <v>115</v>
      </c>
      <c r="B48" s="15" t="n">
        <v>-96</v>
      </c>
      <c r="C48" s="0" t="s">
        <v>63</v>
      </c>
      <c r="D48" s="7" t="s">
        <v>94</v>
      </c>
    </row>
    <row r="49" customFormat="false" ht="15" hidden="false" customHeight="false" outlineLevel="0" collapsed="false">
      <c r="A49" s="0" t="s">
        <v>116</v>
      </c>
      <c r="B49" s="13" t="n">
        <v>160</v>
      </c>
      <c r="C49" s="0" t="s">
        <v>53</v>
      </c>
      <c r="D49" s="7" t="s">
        <v>117</v>
      </c>
    </row>
    <row r="50" customFormat="false" ht="15" hidden="false" customHeight="false" outlineLevel="0" collapsed="false">
      <c r="A50" s="11" t="s">
        <v>118</v>
      </c>
    </row>
    <row r="51" customFormat="false" ht="15" hidden="false" customHeight="false" outlineLevel="0" collapsed="false">
      <c r="A51" s="0" t="s">
        <v>119</v>
      </c>
      <c r="B51" s="15" t="n">
        <v>15.7</v>
      </c>
      <c r="C51" s="0" t="s">
        <v>120</v>
      </c>
      <c r="D51" s="7" t="s">
        <v>121</v>
      </c>
    </row>
    <row r="52" customFormat="false" ht="15" hidden="false" customHeight="false" outlineLevel="0" collapsed="false">
      <c r="A52" s="0" t="s">
        <v>122</v>
      </c>
      <c r="B52" s="15" t="n">
        <v>19.8</v>
      </c>
      <c r="C52" s="0" t="s">
        <v>120</v>
      </c>
      <c r="D52" s="7" t="s">
        <v>123</v>
      </c>
    </row>
    <row r="53" customFormat="false" ht="15" hidden="false" customHeight="false" outlineLevel="0" collapsed="false">
      <c r="A53" s="0" t="s">
        <v>124</v>
      </c>
      <c r="B53" s="15" t="n">
        <v>23.65</v>
      </c>
      <c r="C53" s="0" t="s">
        <v>120</v>
      </c>
      <c r="D53" s="7" t="s">
        <v>125</v>
      </c>
    </row>
    <row r="54" customFormat="false" ht="15" hidden="false" customHeight="false" outlineLevel="0" collapsed="false">
      <c r="A54" s="0" t="s">
        <v>126</v>
      </c>
      <c r="B54" s="16" t="n">
        <v>0.111</v>
      </c>
      <c r="C54" s="0" t="s">
        <v>127</v>
      </c>
      <c r="D54" s="7" t="s">
        <v>128</v>
      </c>
    </row>
    <row r="55" customFormat="false" ht="15" hidden="false" customHeight="false" outlineLevel="0" collapsed="false">
      <c r="A55" s="0" t="s">
        <v>129</v>
      </c>
      <c r="B55" s="16" t="n">
        <v>0.134</v>
      </c>
      <c r="C55" s="0" t="s">
        <v>127</v>
      </c>
      <c r="D55" s="7" t="s">
        <v>123</v>
      </c>
    </row>
    <row r="56" customFormat="false" ht="15" hidden="false" customHeight="false" outlineLevel="0" collapsed="false">
      <c r="A56" s="0" t="s">
        <v>130</v>
      </c>
      <c r="B56" s="16" t="n">
        <v>0.148</v>
      </c>
      <c r="C56" s="0" t="s">
        <v>127</v>
      </c>
      <c r="D56" s="7" t="s">
        <v>131</v>
      </c>
    </row>
    <row r="57" customFormat="false" ht="15" hidden="false" customHeight="false" outlineLevel="0" collapsed="false">
      <c r="A57" s="0" t="s">
        <v>132</v>
      </c>
      <c r="B57" s="15" t="n">
        <v>1.74</v>
      </c>
      <c r="C57" s="0" t="s">
        <v>120</v>
      </c>
      <c r="D57" s="7" t="s">
        <v>128</v>
      </c>
    </row>
    <row r="58" customFormat="false" ht="15" hidden="false" customHeight="false" outlineLevel="0" collapsed="false">
      <c r="A58" s="0" t="s">
        <v>133</v>
      </c>
      <c r="B58" s="15" t="n">
        <v>2.64</v>
      </c>
      <c r="C58" s="0" t="s">
        <v>120</v>
      </c>
      <c r="D58" s="7" t="s">
        <v>123</v>
      </c>
    </row>
    <row r="59" customFormat="false" ht="15" hidden="false" customHeight="false" outlineLevel="0" collapsed="false">
      <c r="A59" s="0" t="s">
        <v>134</v>
      </c>
      <c r="B59" s="15" t="n">
        <v>3.5</v>
      </c>
      <c r="C59" s="0" t="s">
        <v>120</v>
      </c>
      <c r="D59" s="7" t="s">
        <v>135</v>
      </c>
    </row>
    <row r="60" customFormat="false" ht="15" hidden="false" customHeight="false" outlineLevel="0" collapsed="false">
      <c r="A60" s="0" t="s">
        <v>136</v>
      </c>
      <c r="B60" s="15" t="n">
        <v>26</v>
      </c>
      <c r="C60" s="0" t="s">
        <v>120</v>
      </c>
      <c r="D60" s="7" t="s">
        <v>137</v>
      </c>
    </row>
    <row r="61" customFormat="false" ht="15" hidden="false" customHeight="false" outlineLevel="0" collapsed="false">
      <c r="A61" s="0" t="s">
        <v>138</v>
      </c>
      <c r="B61" s="16" t="n">
        <v>0.15</v>
      </c>
      <c r="C61" s="0" t="s">
        <v>127</v>
      </c>
      <c r="D61" s="7" t="s">
        <v>139</v>
      </c>
    </row>
    <row r="62" customFormat="false" ht="15" hidden="false" customHeight="false" outlineLevel="0" collapsed="false">
      <c r="A62" s="0" t="s">
        <v>140</v>
      </c>
      <c r="B62" s="15" t="n">
        <v>36</v>
      </c>
      <c r="C62" s="0" t="s">
        <v>120</v>
      </c>
      <c r="D62" s="7" t="s">
        <v>141</v>
      </c>
    </row>
    <row r="63" customFormat="false" ht="15" hidden="false" customHeight="false" outlineLevel="0" collapsed="false">
      <c r="A63" s="0" t="s">
        <v>142</v>
      </c>
      <c r="B63" s="15" t="n">
        <v>4.41</v>
      </c>
      <c r="C63" s="0" t="s">
        <v>120</v>
      </c>
      <c r="D63" s="7" t="s">
        <v>143</v>
      </c>
    </row>
    <row r="64" customFormat="false" ht="15" hidden="false" customHeight="false" outlineLevel="0" collapsed="false">
      <c r="A64" s="0" t="s">
        <v>144</v>
      </c>
      <c r="B64" s="15" t="n">
        <v>5.4</v>
      </c>
      <c r="C64" s="0" t="s">
        <v>120</v>
      </c>
      <c r="D64" s="7" t="s">
        <v>135</v>
      </c>
    </row>
    <row r="65" customFormat="false" ht="15" hidden="false" customHeight="false" outlineLevel="0" collapsed="false">
      <c r="A65" s="11" t="s">
        <v>145</v>
      </c>
    </row>
    <row r="66" customFormat="false" ht="15" hidden="false" customHeight="false" outlineLevel="0" collapsed="false">
      <c r="A66" s="0" t="s">
        <v>146</v>
      </c>
      <c r="B66" s="17" t="n">
        <v>0.12</v>
      </c>
      <c r="C66" s="0" t="s">
        <v>127</v>
      </c>
      <c r="D66" s="7" t="s">
        <v>147</v>
      </c>
    </row>
    <row r="67" customFormat="false" ht="15" hidden="false" customHeight="false" outlineLevel="0" collapsed="false">
      <c r="A67" s="0" t="s">
        <v>148</v>
      </c>
      <c r="B67" s="17" t="n">
        <v>0.155</v>
      </c>
      <c r="C67" s="0" t="s">
        <v>127</v>
      </c>
      <c r="D67" s="7" t="s">
        <v>149</v>
      </c>
    </row>
    <row r="68" customFormat="false" ht="15" hidden="false" customHeight="false" outlineLevel="0" collapsed="false">
      <c r="A68" s="0" t="s">
        <v>150</v>
      </c>
      <c r="B68" s="18" t="n">
        <v>160</v>
      </c>
      <c r="C68" s="0" t="s">
        <v>53</v>
      </c>
      <c r="D68" s="7" t="s">
        <v>151</v>
      </c>
    </row>
    <row r="69" customFormat="false" ht="23.85" hidden="false" customHeight="false" outlineLevel="0" collapsed="false">
      <c r="A69" s="0" t="s">
        <v>152</v>
      </c>
      <c r="B69" s="17" t="n">
        <v>0.06</v>
      </c>
      <c r="C69" s="0" t="s">
        <v>127</v>
      </c>
      <c r="D69" s="7" t="s">
        <v>153</v>
      </c>
    </row>
    <row r="70" customFormat="false" ht="15" hidden="false" customHeight="false" outlineLevel="0" collapsed="false">
      <c r="A70" s="0" t="s">
        <v>154</v>
      </c>
      <c r="B70" s="17" t="n">
        <v>0.05</v>
      </c>
      <c r="C70" s="0" t="s">
        <v>127</v>
      </c>
      <c r="D70" s="7" t="s">
        <v>155</v>
      </c>
    </row>
    <row r="71" customFormat="false" ht="15" hidden="false" customHeight="false" outlineLevel="0" collapsed="false">
      <c r="A71" s="0" t="s">
        <v>156</v>
      </c>
      <c r="B71" s="17" t="n">
        <v>0.1</v>
      </c>
      <c r="C71" s="0" t="s">
        <v>127</v>
      </c>
      <c r="D71" s="7" t="s">
        <v>157</v>
      </c>
    </row>
    <row r="72" customFormat="false" ht="15" hidden="false" customHeight="false" outlineLevel="0" collapsed="false">
      <c r="A72" s="0" t="s">
        <v>158</v>
      </c>
      <c r="B72" s="17" t="n">
        <v>0</v>
      </c>
      <c r="C72" s="0" t="s">
        <v>127</v>
      </c>
      <c r="D72" s="7" t="s">
        <v>155</v>
      </c>
    </row>
    <row r="73" customFormat="false" ht="15" hidden="false" customHeight="false" outlineLevel="0" collapsed="false">
      <c r="A73" s="0" t="s">
        <v>159</v>
      </c>
      <c r="B73" s="19" t="n">
        <v>20</v>
      </c>
      <c r="C73" s="0" t="s">
        <v>63</v>
      </c>
      <c r="D73" s="7" t="s">
        <v>160</v>
      </c>
    </row>
    <row r="74" customFormat="false" ht="15" hidden="false" customHeight="false" outlineLevel="0" collapsed="false">
      <c r="A74" s="0" t="s">
        <v>161</v>
      </c>
      <c r="B74" s="19" t="n">
        <v>-100</v>
      </c>
      <c r="C74" s="0" t="s">
        <v>63</v>
      </c>
      <c r="D74" s="7" t="s">
        <v>162</v>
      </c>
    </row>
    <row r="75" customFormat="false" ht="15" hidden="false" customHeight="false" outlineLevel="0" collapsed="false">
      <c r="A75" s="0" t="s">
        <v>163</v>
      </c>
      <c r="B75" s="20" t="n">
        <v>20</v>
      </c>
      <c r="C75" s="0" t="s">
        <v>164</v>
      </c>
      <c r="D75" s="7" t="s">
        <v>165</v>
      </c>
    </row>
    <row r="76" customFormat="false" ht="15" hidden="false" customHeight="false" outlineLevel="0" collapsed="false">
      <c r="A76" s="0" t="s">
        <v>166</v>
      </c>
      <c r="B76" s="20" t="n">
        <v>12</v>
      </c>
      <c r="C76" s="0" t="s">
        <v>164</v>
      </c>
      <c r="D76" s="7" t="s">
        <v>155</v>
      </c>
    </row>
    <row r="77" customFormat="false" ht="15" hidden="false" customHeight="false" outlineLevel="0" collapsed="false">
      <c r="A77" s="0" t="s">
        <v>167</v>
      </c>
      <c r="B77" s="20" t="n">
        <v>15</v>
      </c>
      <c r="C77" s="0" t="s">
        <v>164</v>
      </c>
      <c r="D77" s="7" t="s">
        <v>168</v>
      </c>
    </row>
    <row r="78" customFormat="false" ht="15" hidden="false" customHeight="false" outlineLevel="0" collapsed="false">
      <c r="A78" s="0" t="s">
        <v>169</v>
      </c>
      <c r="B78" s="20" t="n">
        <v>15</v>
      </c>
      <c r="C78" s="0" t="s">
        <v>164</v>
      </c>
      <c r="D78" s="7" t="s">
        <v>170</v>
      </c>
    </row>
    <row r="79" customFormat="false" ht="15" hidden="false" customHeight="false" outlineLevel="0" collapsed="false">
      <c r="A79" s="0" t="s">
        <v>171</v>
      </c>
      <c r="B79" s="20" t="n">
        <v>10</v>
      </c>
      <c r="C79" s="0" t="s">
        <v>164</v>
      </c>
      <c r="D79" s="7" t="s">
        <v>172</v>
      </c>
    </row>
    <row r="80" customFormat="false" ht="15" hidden="false" customHeight="false" outlineLevel="0" collapsed="false">
      <c r="A80" s="0" t="s">
        <v>173</v>
      </c>
      <c r="B80" s="20" t="n">
        <v>8</v>
      </c>
      <c r="C80" s="0" t="s">
        <v>164</v>
      </c>
      <c r="D80" s="7" t="s">
        <v>155</v>
      </c>
    </row>
    <row r="81" customFormat="false" ht="15" hidden="false" customHeight="false" outlineLevel="0" collapsed="false">
      <c r="A81" s="0" t="s">
        <v>174</v>
      </c>
      <c r="B81" s="20" t="n">
        <v>15</v>
      </c>
      <c r="C81" s="0" t="s">
        <v>164</v>
      </c>
      <c r="D81" s="7" t="s">
        <v>175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50"/>
    <col collapsed="false" customWidth="true" hidden="false" outlineLevel="0" max="3" min="2" style="0" width="13"/>
    <col collapsed="false" customWidth="true" hidden="false" outlineLevel="0" max="4" min="4" style="0" width="14"/>
    <col collapsed="false" customWidth="true" hidden="false" outlineLevel="0" max="6" min="5" style="0" width="13"/>
  </cols>
  <sheetData>
    <row r="1" customFormat="false" ht="15" hidden="false" customHeight="false" outlineLevel="0" collapsed="false">
      <c r="A1" s="1" t="s">
        <v>176</v>
      </c>
    </row>
    <row r="2" customFormat="false" ht="15" hidden="false" customHeight="false" outlineLevel="0" collapsed="false">
      <c r="A2" s="2" t="s">
        <v>1</v>
      </c>
    </row>
    <row r="4" customFormat="false" ht="15" hidden="false" customHeight="false" outlineLevel="0" collapsed="false">
      <c r="A4" s="3" t="s">
        <v>177</v>
      </c>
      <c r="B4" s="4" t="s">
        <v>178</v>
      </c>
      <c r="C4" s="4" t="s">
        <v>179</v>
      </c>
      <c r="D4" s="4" t="s">
        <v>180</v>
      </c>
      <c r="E4" s="4" t="s">
        <v>181</v>
      </c>
      <c r="F4" s="4" t="s">
        <v>182</v>
      </c>
    </row>
    <row r="5" customFormat="false" ht="15" hidden="false" customHeight="false" outlineLevel="0" collapsed="false">
      <c r="A5" s="5" t="s">
        <v>183</v>
      </c>
      <c r="B5" s="21" t="n">
        <f aca="false">Assumptions!$B$51</f>
        <v>15.7</v>
      </c>
      <c r="C5" s="21" t="n">
        <f aca="false">Assumptions!$B$52</f>
        <v>19.8</v>
      </c>
      <c r="D5" s="21" t="n">
        <f aca="false">Assumptions!$B$53</f>
        <v>23.65</v>
      </c>
      <c r="E5" s="22" t="n">
        <f aca="false">D5*(1+Assumptions!$B$66)</f>
        <v>26.488</v>
      </c>
      <c r="F5" s="21" t="n">
        <f aca="false">Assumptions!$B$62</f>
        <v>36</v>
      </c>
    </row>
    <row r="6" customFormat="false" ht="15" hidden="false" customHeight="false" outlineLevel="0" collapsed="false">
      <c r="A6" s="23" t="s">
        <v>184</v>
      </c>
      <c r="B6" s="24"/>
      <c r="C6" s="24" t="n">
        <f aca="false">C5/B5-1</f>
        <v>0.261146496815287</v>
      </c>
      <c r="D6" s="24" t="n">
        <f aca="false">D5/C5-1</f>
        <v>0.194444444444444</v>
      </c>
      <c r="E6" s="24" t="n">
        <f aca="false">E5/D5-1</f>
        <v>0.12</v>
      </c>
      <c r="F6" s="24"/>
    </row>
    <row r="7" customFormat="false" ht="15" hidden="false" customHeight="false" outlineLevel="0" collapsed="false">
      <c r="A7" s="23" t="s">
        <v>185</v>
      </c>
      <c r="B7" s="9" t="n">
        <f aca="false">Assumptions!$B$54</f>
        <v>0.111</v>
      </c>
      <c r="C7" s="9" t="n">
        <f aca="false">Assumptions!$B$55</f>
        <v>0.134</v>
      </c>
      <c r="D7" s="9" t="n">
        <f aca="false">Assumptions!$B$56</f>
        <v>0.148</v>
      </c>
      <c r="E7" s="9" t="n">
        <f aca="false">Assumptions!$B$67</f>
        <v>0.155</v>
      </c>
      <c r="F7" s="24"/>
    </row>
    <row r="8" customFormat="false" ht="15" hidden="false" customHeight="false" outlineLevel="0" collapsed="false">
      <c r="A8" s="23" t="s">
        <v>186</v>
      </c>
      <c r="B8" s="25" t="n">
        <f aca="false">Assumptions!$B$57</f>
        <v>1.74</v>
      </c>
      <c r="C8" s="25" t="n">
        <f aca="false">Assumptions!$B$58</f>
        <v>2.64</v>
      </c>
      <c r="D8" s="25" t="n">
        <f aca="false">Assumptions!$B$59</f>
        <v>3.5</v>
      </c>
      <c r="E8" s="26" t="n">
        <f aca="false">E5*E7</f>
        <v>4.10564</v>
      </c>
      <c r="F8" s="26"/>
    </row>
    <row r="9" customFormat="false" ht="15" hidden="false" customHeight="false" outlineLevel="0" collapsed="false">
      <c r="A9" s="23" t="s">
        <v>187</v>
      </c>
      <c r="B9" s="27"/>
      <c r="C9" s="27"/>
      <c r="D9" s="28" t="n">
        <f aca="false">Assumptions!$B$49</f>
        <v>160</v>
      </c>
      <c r="E9" s="28" t="n">
        <f aca="false">Assumptions!$B$68</f>
        <v>160</v>
      </c>
      <c r="F9" s="27"/>
    </row>
    <row r="10" customFormat="false" ht="15" hidden="false" customHeight="false" outlineLevel="0" collapsed="false">
      <c r="A10" s="5" t="s">
        <v>188</v>
      </c>
      <c r="B10" s="22"/>
      <c r="C10" s="22"/>
      <c r="D10" s="22" t="n">
        <f aca="false">D8*D9</f>
        <v>560</v>
      </c>
      <c r="E10" s="22" t="n">
        <f aca="false">E8*E9</f>
        <v>656.9024</v>
      </c>
      <c r="F10" s="22"/>
    </row>
    <row r="11" customFormat="false" ht="15" hidden="false" customHeight="false" outlineLevel="0" collapsed="false">
      <c r="A11" s="23" t="s">
        <v>189</v>
      </c>
      <c r="B11" s="22"/>
      <c r="C11" s="22"/>
      <c r="D11" s="22" t="n">
        <f aca="false">D5*D9</f>
        <v>3784</v>
      </c>
      <c r="E11" s="22" t="n">
        <f aca="false">E5*E9</f>
        <v>4238.08</v>
      </c>
      <c r="F11" s="22"/>
    </row>
    <row r="13" customFormat="false" ht="15" hidden="false" customHeight="false" outlineLevel="0" collapsed="false">
      <c r="A13" s="11" t="s">
        <v>190</v>
      </c>
    </row>
    <row r="14" customFormat="false" ht="15" hidden="false" customHeight="false" outlineLevel="0" collapsed="false">
      <c r="A14" s="0" t="s">
        <v>191</v>
      </c>
      <c r="B14" s="29" t="n">
        <f aca="false">D11/Assumptions!$B$23</f>
        <v>0.323418803418803</v>
      </c>
    </row>
    <row r="15" customFormat="false" ht="15" hidden="false" customHeight="false" outlineLevel="0" collapsed="false">
      <c r="A15" s="0" t="s">
        <v>192</v>
      </c>
      <c r="B15" s="29" t="n">
        <f aca="false">D10/Assumptions!$B$24</f>
        <v>0.368421052631579</v>
      </c>
    </row>
    <row r="16" customFormat="false" ht="15" hidden="false" customHeight="false" outlineLevel="0" collapsed="false">
      <c r="A16" s="0" t="s">
        <v>193</v>
      </c>
      <c r="B16" s="29" t="n">
        <f aca="false">D10/(Assumptions!$B$28+Assumptions!$B$32+Assumptions!$B$36+Assumptions!$B$40+Assumptions!$B$44)</f>
        <v>0.346534653465347</v>
      </c>
    </row>
    <row r="18" customFormat="false" ht="15" hidden="false" customHeight="false" outlineLevel="0" collapsed="false">
      <c r="A18" s="11" t="s">
        <v>194</v>
      </c>
    </row>
    <row r="19" customFormat="false" ht="23.85" hidden="false" customHeight="false" outlineLevel="0" collapsed="false">
      <c r="A19" s="3" t="s">
        <v>195</v>
      </c>
      <c r="B19" s="4" t="s">
        <v>183</v>
      </c>
      <c r="C19" s="4" t="s">
        <v>196</v>
      </c>
    </row>
    <row r="20" customFormat="false" ht="15" hidden="false" customHeight="false" outlineLevel="0" collapsed="false">
      <c r="A20" s="0" t="s">
        <v>197</v>
      </c>
      <c r="B20" s="15" t="n">
        <v>18</v>
      </c>
      <c r="C20" s="16" t="n">
        <v>0.119</v>
      </c>
    </row>
    <row r="21" customFormat="false" ht="15" hidden="false" customHeight="false" outlineLevel="0" collapsed="false">
      <c r="A21" s="0" t="s">
        <v>198</v>
      </c>
      <c r="B21" s="15" t="n">
        <v>19</v>
      </c>
      <c r="C21" s="16" t="n">
        <v>0.132</v>
      </c>
    </row>
    <row r="22" customFormat="false" ht="15" hidden="false" customHeight="false" outlineLevel="0" collapsed="false">
      <c r="A22" s="0" t="s">
        <v>199</v>
      </c>
      <c r="B22" s="15" t="n">
        <v>19.7</v>
      </c>
      <c r="C22" s="16" t="n">
        <v>0.133</v>
      </c>
    </row>
    <row r="23" customFormat="false" ht="15" hidden="false" customHeight="false" outlineLevel="0" collapsed="false">
      <c r="A23" s="0" t="s">
        <v>200</v>
      </c>
      <c r="B23" s="15" t="n">
        <v>19.8</v>
      </c>
      <c r="C23" s="16" t="n">
        <v>0.134</v>
      </c>
    </row>
    <row r="25" customFormat="false" ht="15" hidden="false" customHeight="false" outlineLevel="0" collapsed="false">
      <c r="A25" s="12" t="s">
        <v>201</v>
      </c>
    </row>
    <row r="26" customFormat="false" ht="15" hidden="false" customHeight="false" outlineLevel="0" collapsed="false">
      <c r="A26" s="12" t="s">
        <v>202</v>
      </c>
    </row>
    <row r="27" customFormat="false" ht="15" hidden="false" customHeight="false" outlineLevel="0" collapsed="false">
      <c r="A27" s="12" t="s">
        <v>203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46"/>
    <col collapsed="false" customWidth="true" hidden="false" outlineLevel="0" max="5" min="2" style="0" width="13"/>
    <col collapsed="false" customWidth="true" hidden="false" outlineLevel="0" max="6" min="6" style="0" width="12"/>
    <col collapsed="false" customWidth="true" hidden="false" outlineLevel="0" max="7" min="7" style="0" width="13"/>
  </cols>
  <sheetData>
    <row r="1" customFormat="false" ht="15" hidden="false" customHeight="false" outlineLevel="0" collapsed="false">
      <c r="A1" s="1" t="s">
        <v>204</v>
      </c>
    </row>
    <row r="2" customFormat="false" ht="15" hidden="false" customHeight="false" outlineLevel="0" collapsed="false">
      <c r="A2" s="2" t="s">
        <v>1</v>
      </c>
    </row>
    <row r="4" customFormat="false" ht="23.85" hidden="false" customHeight="false" outlineLevel="0" collapsed="false">
      <c r="A4" s="3" t="s">
        <v>205</v>
      </c>
      <c r="B4" s="4" t="s">
        <v>206</v>
      </c>
      <c r="C4" s="4" t="s">
        <v>207</v>
      </c>
      <c r="D4" s="4" t="s">
        <v>208</v>
      </c>
      <c r="E4" s="4" t="s">
        <v>209</v>
      </c>
      <c r="F4" s="4" t="s">
        <v>210</v>
      </c>
      <c r="G4" s="4" t="s">
        <v>211</v>
      </c>
    </row>
    <row r="5" customFormat="false" ht="15" hidden="false" customHeight="false" outlineLevel="0" collapsed="false">
      <c r="A5" s="23" t="s">
        <v>212</v>
      </c>
      <c r="B5" s="22"/>
      <c r="C5" s="22" t="n">
        <f aca="false">HitachiEnergy!D11</f>
        <v>3784</v>
      </c>
      <c r="D5" s="22"/>
      <c r="E5" s="22" t="n">
        <f aca="false">HitachiEnergy!D10</f>
        <v>560</v>
      </c>
      <c r="F5" s="24" t="n">
        <f aca="false">HitachiEnergy!E5/HitachiEnergy!D5-1</f>
        <v>0.12</v>
      </c>
      <c r="G5" s="22" t="n">
        <f aca="false">HitachiEnergy!E10</f>
        <v>656.9024</v>
      </c>
    </row>
    <row r="6" customFormat="false" ht="15" hidden="false" customHeight="false" outlineLevel="0" collapsed="false">
      <c r="A6" s="23" t="s">
        <v>213</v>
      </c>
      <c r="B6" s="22"/>
      <c r="C6" s="21" t="n">
        <f aca="false">Assumptions!$B$31-C5</f>
        <v>276</v>
      </c>
      <c r="D6" s="22"/>
      <c r="E6" s="21" t="n">
        <f aca="false">Assumptions!$B$32-E5</f>
        <v>16</v>
      </c>
      <c r="F6" s="24"/>
      <c r="G6" s="21" t="n">
        <f aca="false">Assumptions!$B$73</f>
        <v>20</v>
      </c>
    </row>
    <row r="7" customFormat="false" ht="15" hidden="false" customHeight="false" outlineLevel="0" collapsed="false">
      <c r="A7" s="23" t="s">
        <v>214</v>
      </c>
      <c r="B7" s="21" t="n">
        <f aca="false">Assumptions!$B$25</f>
        <v>3068.3</v>
      </c>
      <c r="C7" s="21" t="n">
        <f aca="false">Assumptions!$B$27</f>
        <v>3220</v>
      </c>
      <c r="D7" s="21" t="n">
        <f aca="false">Assumptions!$B$26</f>
        <v>477.1</v>
      </c>
      <c r="E7" s="21" t="n">
        <f aca="false">Assumptions!$B$28</f>
        <v>508</v>
      </c>
      <c r="F7" s="9" t="n">
        <f aca="false">Assumptions!$B$69</f>
        <v>0.06</v>
      </c>
      <c r="G7" s="22" t="n">
        <f aca="false">E7*(1+F7)</f>
        <v>538.48</v>
      </c>
    </row>
    <row r="8" customFormat="false" ht="15" hidden="false" customHeight="false" outlineLevel="0" collapsed="false">
      <c r="A8" s="23" t="s">
        <v>215</v>
      </c>
      <c r="B8" s="21" t="n">
        <f aca="false">Assumptions!$B$37</f>
        <v>3086</v>
      </c>
      <c r="C8" s="21" t="n">
        <f aca="false">Assumptions!$B$39</f>
        <v>3250</v>
      </c>
      <c r="D8" s="21" t="n">
        <f aca="false">Assumptions!$B$38</f>
        <v>340.3</v>
      </c>
      <c r="E8" s="21" t="n">
        <f aca="false">Assumptions!$B$40</f>
        <v>385</v>
      </c>
      <c r="F8" s="9" t="n">
        <f aca="false">Assumptions!$B$70</f>
        <v>0.05</v>
      </c>
      <c r="G8" s="22" t="n">
        <f aca="false">E8*(1+F8)</f>
        <v>404.25</v>
      </c>
    </row>
    <row r="9" customFormat="false" ht="15" hidden="false" customHeight="false" outlineLevel="0" collapsed="false">
      <c r="A9" s="23" t="s">
        <v>216</v>
      </c>
      <c r="B9" s="21" t="n">
        <f aca="false">Assumptions!$B$33</f>
        <v>1321.5</v>
      </c>
      <c r="C9" s="21" t="n">
        <f aca="false">Assumptions!$B$35</f>
        <v>1450</v>
      </c>
      <c r="D9" s="21" t="n">
        <f aca="false">Assumptions!$B$34</f>
        <v>108.1</v>
      </c>
      <c r="E9" s="21" t="n">
        <f aca="false">Assumptions!$B$36</f>
        <v>136</v>
      </c>
      <c r="F9" s="9" t="n">
        <f aca="false">Assumptions!$B$71</f>
        <v>0.1</v>
      </c>
      <c r="G9" s="22" t="n">
        <f aca="false">E9*(1+F9)</f>
        <v>149.6</v>
      </c>
    </row>
    <row r="10" customFormat="false" ht="15" hidden="false" customHeight="false" outlineLevel="0" collapsed="false">
      <c r="A10" s="23" t="s">
        <v>217</v>
      </c>
      <c r="B10" s="21" t="n">
        <f aca="false">Assumptions!$B$41</f>
        <v>531</v>
      </c>
      <c r="C10" s="21" t="n">
        <f aca="false">Assumptions!$B$43</f>
        <v>500</v>
      </c>
      <c r="D10" s="21" t="n">
        <f aca="false">Assumptions!$B$42</f>
        <v>22.9</v>
      </c>
      <c r="E10" s="21" t="n">
        <f aca="false">Assumptions!$B$44</f>
        <v>11</v>
      </c>
      <c r="F10" s="9" t="n">
        <f aca="false">Assumptions!$B$72</f>
        <v>0</v>
      </c>
      <c r="G10" s="22" t="n">
        <f aca="false">E10*(1+F10)</f>
        <v>11</v>
      </c>
    </row>
    <row r="11" customFormat="false" ht="15" hidden="false" customHeight="false" outlineLevel="0" collapsed="false">
      <c r="A11" s="23" t="s">
        <v>218</v>
      </c>
      <c r="B11" s="21" t="n">
        <f aca="false">Assumptions!$B$45</f>
        <v>-640.1</v>
      </c>
      <c r="C11" s="21" t="n">
        <f aca="false">Assumptions!$B$47</f>
        <v>-780</v>
      </c>
      <c r="D11" s="21" t="n">
        <f aca="false">Assumptions!$B$46</f>
        <v>-53.1</v>
      </c>
      <c r="E11" s="21" t="n">
        <f aca="false">Assumptions!$B$48</f>
        <v>-96</v>
      </c>
      <c r="F11" s="24"/>
      <c r="G11" s="21" t="n">
        <f aca="false">Assumptions!$B$74</f>
        <v>-100</v>
      </c>
    </row>
    <row r="12" customFormat="false" ht="15" hidden="false" customHeight="false" outlineLevel="0" collapsed="false">
      <c r="A12" s="5" t="s">
        <v>219</v>
      </c>
      <c r="B12" s="22" t="n">
        <f aca="false">SUM(B5:B11)+Assumptions!$B$29</f>
        <v>10586.6</v>
      </c>
      <c r="C12" s="22" t="n">
        <f aca="false">SUM(C5:C11)</f>
        <v>11700</v>
      </c>
      <c r="D12" s="22" t="n">
        <f aca="false">SUM(D5:D11)+Assumptions!$B$30</f>
        <v>1311.3</v>
      </c>
      <c r="E12" s="22" t="n">
        <f aca="false">SUM(E5:E11)</f>
        <v>1520</v>
      </c>
      <c r="F12" s="24" t="n">
        <f aca="false">G12/E12-1</f>
        <v>0.105416052631579</v>
      </c>
      <c r="G12" s="22" t="n">
        <f aca="false">SUM(G5:G11)</f>
        <v>1680.2324</v>
      </c>
    </row>
    <row r="14" customFormat="false" ht="15" hidden="false" customHeight="false" outlineLevel="0" collapsed="false">
      <c r="A14" s="0" t="s">
        <v>220</v>
      </c>
      <c r="C14" s="30" t="n">
        <f aca="false">C12-Assumptions!$B$23</f>
        <v>0</v>
      </c>
      <c r="E14" s="30" t="n">
        <f aca="false">E12-Assumptions!$B$24</f>
        <v>0</v>
      </c>
    </row>
    <row r="15" customFormat="false" ht="15" hidden="false" customHeight="false" outlineLevel="0" collapsed="false">
      <c r="A15" s="0" t="s">
        <v>221</v>
      </c>
      <c r="B15" s="30" t="n">
        <f aca="false">Assumptions!$B$29</f>
        <v>3219.9</v>
      </c>
      <c r="C15" s="30" t="n">
        <f aca="false">Assumptions!$B$31</f>
        <v>4060</v>
      </c>
      <c r="D15" s="30" t="n">
        <f aca="false">Assumptions!$B$30</f>
        <v>416</v>
      </c>
      <c r="E15" s="30" t="n">
        <f aca="false">Assumptions!$B$32</f>
        <v>576</v>
      </c>
    </row>
    <row r="17" customFormat="false" ht="15" hidden="false" customHeight="false" outlineLevel="0" collapsed="false">
      <c r="A17" s="12" t="s">
        <v>222</v>
      </c>
    </row>
    <row r="18" customFormat="false" ht="15" hidden="false" customHeight="false" outlineLevel="0" collapsed="false">
      <c r="A18" s="12" t="s">
        <v>223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58"/>
    <col collapsed="false" customWidth="true" hidden="false" outlineLevel="0" max="2" min="2" style="0" width="14"/>
    <col collapsed="false" customWidth="true" hidden="false" outlineLevel="0" max="3" min="3" style="0" width="10"/>
    <col collapsed="false" customWidth="true" hidden="false" outlineLevel="0" max="4" min="4" style="0" width="16"/>
    <col collapsed="false" customWidth="true" hidden="false" outlineLevel="0" max="5" min="5" style="0" width="12"/>
    <col collapsed="false" customWidth="true" hidden="false" outlineLevel="0" max="6" min="6" style="0" width="60"/>
  </cols>
  <sheetData>
    <row r="1" customFormat="false" ht="15" hidden="false" customHeight="false" outlineLevel="0" collapsed="false">
      <c r="A1" s="1" t="s">
        <v>224</v>
      </c>
    </row>
    <row r="2" customFormat="false" ht="15" hidden="false" customHeight="false" outlineLevel="0" collapsed="false">
      <c r="A2" s="2" t="s">
        <v>1</v>
      </c>
    </row>
    <row r="4" customFormat="false" ht="15" hidden="false" customHeight="false" outlineLevel="0" collapsed="false">
      <c r="A4" s="3" t="s">
        <v>205</v>
      </c>
      <c r="B4" s="4" t="s">
        <v>225</v>
      </c>
      <c r="C4" s="4" t="s">
        <v>226</v>
      </c>
      <c r="D4" s="4" t="s">
        <v>227</v>
      </c>
      <c r="E4" s="4" t="s">
        <v>228</v>
      </c>
      <c r="F4" s="4" t="s">
        <v>229</v>
      </c>
    </row>
    <row r="5" customFormat="false" ht="15" hidden="false" customHeight="false" outlineLevel="0" collapsed="false">
      <c r="A5" s="0" t="s">
        <v>212</v>
      </c>
      <c r="B5" s="31" t="n">
        <f aca="false">Segments!G5</f>
        <v>656.9024</v>
      </c>
      <c r="C5" s="32" t="n">
        <f aca="false">Assumptions!$B$75</f>
        <v>20</v>
      </c>
      <c r="D5" s="30" t="n">
        <f aca="false">B5*C5</f>
        <v>13138.048</v>
      </c>
      <c r="E5" s="33" t="n">
        <f aca="false">D5/$D$19</f>
        <v>0.456867062776636</v>
      </c>
    </row>
    <row r="6" customFormat="false" ht="15" hidden="false" customHeight="false" outlineLevel="0" collapsed="false">
      <c r="A6" s="0" t="s">
        <v>230</v>
      </c>
      <c r="B6" s="31" t="n">
        <f aca="false">Segments!G6</f>
        <v>20</v>
      </c>
      <c r="C6" s="32" t="n">
        <f aca="false">Assumptions!$B$76</f>
        <v>12</v>
      </c>
      <c r="D6" s="30" t="n">
        <f aca="false">B6*C6</f>
        <v>240</v>
      </c>
      <c r="E6" s="33" t="n">
        <f aca="false">D6/$D$19</f>
        <v>0.008345843695075</v>
      </c>
    </row>
    <row r="7" customFormat="false" ht="15" hidden="false" customHeight="false" outlineLevel="0" collapsed="false">
      <c r="A7" s="0" t="s">
        <v>214</v>
      </c>
      <c r="B7" s="31" t="n">
        <f aca="false">Segments!G7</f>
        <v>538.48</v>
      </c>
      <c r="C7" s="32" t="n">
        <f aca="false">Assumptions!$B$77</f>
        <v>15</v>
      </c>
      <c r="D7" s="30" t="n">
        <f aca="false">B7*C7</f>
        <v>8077.2</v>
      </c>
      <c r="E7" s="33" t="n">
        <f aca="false">D7/$D$19</f>
        <v>0.280879369557749</v>
      </c>
    </row>
    <row r="8" customFormat="false" ht="15" hidden="false" customHeight="false" outlineLevel="0" collapsed="false">
      <c r="A8" s="0" t="s">
        <v>215</v>
      </c>
      <c r="B8" s="31" t="n">
        <f aca="false">Segments!G8</f>
        <v>404.25</v>
      </c>
      <c r="C8" s="32" t="n">
        <f aca="false">Assumptions!$B$78</f>
        <v>15</v>
      </c>
      <c r="D8" s="30" t="n">
        <f aca="false">B8*C8</f>
        <v>6063.75</v>
      </c>
      <c r="E8" s="33" t="n">
        <f aca="false">D8/$D$19</f>
        <v>0.210862957108379</v>
      </c>
    </row>
    <row r="9" customFormat="false" ht="15" hidden="false" customHeight="false" outlineLevel="0" collapsed="false">
      <c r="A9" s="0" t="s">
        <v>216</v>
      </c>
      <c r="B9" s="31" t="n">
        <f aca="false">Segments!G9</f>
        <v>149.6</v>
      </c>
      <c r="C9" s="32" t="n">
        <f aca="false">Assumptions!$B$79</f>
        <v>10</v>
      </c>
      <c r="D9" s="30" t="n">
        <f aca="false">B9*C9</f>
        <v>1496</v>
      </c>
      <c r="E9" s="33" t="n">
        <f aca="false">D9/$D$19</f>
        <v>0.0520224256993009</v>
      </c>
    </row>
    <row r="10" customFormat="false" ht="15" hidden="false" customHeight="false" outlineLevel="0" collapsed="false">
      <c r="A10" s="0" t="s">
        <v>217</v>
      </c>
      <c r="B10" s="31" t="n">
        <f aca="false">Segments!G10</f>
        <v>11</v>
      </c>
      <c r="C10" s="32" t="n">
        <f aca="false">Assumptions!$B$80</f>
        <v>8</v>
      </c>
      <c r="D10" s="30" t="n">
        <f aca="false">B10*C10</f>
        <v>88</v>
      </c>
      <c r="E10" s="33" t="n">
        <f aca="false">D10/$D$19</f>
        <v>0.00306014268819417</v>
      </c>
    </row>
    <row r="11" customFormat="false" ht="15" hidden="false" customHeight="false" outlineLevel="0" collapsed="false">
      <c r="A11" s="0" t="s">
        <v>231</v>
      </c>
      <c r="B11" s="31" t="n">
        <f aca="false">Segments!G11</f>
        <v>-100</v>
      </c>
      <c r="C11" s="32" t="n">
        <f aca="false">Assumptions!$B$81</f>
        <v>15</v>
      </c>
      <c r="D11" s="30" t="n">
        <f aca="false">B11*C11</f>
        <v>-1500</v>
      </c>
      <c r="E11" s="33" t="n">
        <f aca="false">D11/$D$19</f>
        <v>-0.0521615230942188</v>
      </c>
    </row>
    <row r="12" customFormat="false" ht="15" hidden="false" customHeight="false" outlineLevel="0" collapsed="false">
      <c r="A12" s="5" t="s">
        <v>232</v>
      </c>
      <c r="D12" s="30" t="n">
        <f aca="false">SUM(D5:D11)</f>
        <v>27602.998</v>
      </c>
      <c r="F12" s="7"/>
    </row>
    <row r="13" customFormat="false" ht="15" hidden="false" customHeight="false" outlineLevel="0" collapsed="false">
      <c r="A13" s="0" t="s">
        <v>233</v>
      </c>
      <c r="D13" s="31" t="n">
        <f aca="false">Assumptions!$B$11-Assumptions!$B$12</f>
        <v>447.569</v>
      </c>
      <c r="F13" s="7"/>
    </row>
    <row r="14" customFormat="false" ht="15" hidden="false" customHeight="false" outlineLevel="0" collapsed="false">
      <c r="A14" s="0" t="s">
        <v>234</v>
      </c>
      <c r="D14" s="31" t="n">
        <f aca="false">Assumptions!$B$13</f>
        <v>615.565</v>
      </c>
      <c r="F14" s="7"/>
    </row>
    <row r="15" customFormat="false" ht="15" hidden="false" customHeight="false" outlineLevel="0" collapsed="false">
      <c r="A15" s="0" t="s">
        <v>235</v>
      </c>
      <c r="D15" s="31" t="n">
        <f aca="false">Assumptions!$B$14</f>
        <v>513.273</v>
      </c>
      <c r="F15" s="7"/>
    </row>
    <row r="16" customFormat="false" ht="15" hidden="false" customHeight="false" outlineLevel="0" collapsed="false">
      <c r="A16" s="0" t="s">
        <v>236</v>
      </c>
      <c r="D16" s="30" t="n">
        <f aca="false">-Assumptions!$B$15</f>
        <v>-189.101</v>
      </c>
      <c r="F16" s="7"/>
    </row>
    <row r="17" customFormat="false" ht="15" hidden="false" customHeight="false" outlineLevel="0" collapsed="false">
      <c r="A17" s="0" t="s">
        <v>237</v>
      </c>
      <c r="D17" s="30" t="n">
        <f aca="false">-Assumptions!$B$16</f>
        <v>-233.475</v>
      </c>
      <c r="F17" s="7"/>
    </row>
    <row r="18" customFormat="false" ht="15" hidden="false" customHeight="false" outlineLevel="0" collapsed="false">
      <c r="A18" s="0" t="s">
        <v>238</v>
      </c>
      <c r="D18" s="30" t="n">
        <f aca="false">SUM(D13:D17)</f>
        <v>1153.831</v>
      </c>
      <c r="E18" s="33" t="n">
        <f aca="false">D18/$D$19</f>
        <v>0.0401237215688837</v>
      </c>
      <c r="F18" s="7"/>
    </row>
    <row r="19" customFormat="false" ht="15" hidden="false" customHeight="false" outlineLevel="0" collapsed="false">
      <c r="A19" s="5" t="s">
        <v>239</v>
      </c>
      <c r="D19" s="30" t="n">
        <f aca="false">D12+D18</f>
        <v>28756.829</v>
      </c>
      <c r="F19" s="7"/>
    </row>
    <row r="20" customFormat="false" ht="15" hidden="false" customHeight="false" outlineLevel="0" collapsed="false">
      <c r="A20" s="0" t="s">
        <v>240</v>
      </c>
      <c r="D20" s="34" t="n">
        <f aca="false">Assumptions!$B$9-Assumptions!$B$10</f>
        <v>4471.008493</v>
      </c>
      <c r="F20" s="7" t="s">
        <v>241</v>
      </c>
    </row>
    <row r="21" customFormat="false" ht="15" hidden="false" customHeight="false" outlineLevel="0" collapsed="false">
      <c r="A21" s="5" t="s">
        <v>242</v>
      </c>
      <c r="D21" s="35" t="n">
        <f aca="false">D19/D20*1000</f>
        <v>6431.84396652856</v>
      </c>
      <c r="F21" s="7"/>
    </row>
    <row r="22" customFormat="false" ht="15" hidden="false" customHeight="false" outlineLevel="0" collapsed="false">
      <c r="A22" s="0" t="s">
        <v>9</v>
      </c>
      <c r="D22" s="36" t="n">
        <f aca="false">Assumptions!$B$7</f>
        <v>5840</v>
      </c>
      <c r="F22" s="7" t="s">
        <v>10</v>
      </c>
    </row>
    <row r="23" customFormat="false" ht="23.85" hidden="false" customHeight="false" outlineLevel="0" collapsed="false">
      <c r="A23" s="0" t="s">
        <v>11</v>
      </c>
      <c r="D23" s="29" t="n">
        <f aca="false">D21/D22-1</f>
        <v>0.101343144953521</v>
      </c>
      <c r="F23" s="7" t="s">
        <v>243</v>
      </c>
    </row>
    <row r="24" customFormat="false" ht="15" hidden="false" customHeight="false" outlineLevel="0" collapsed="false">
      <c r="A24" s="5" t="s">
        <v>244</v>
      </c>
      <c r="D24" s="37" t="str">
        <f aca="false">IF(D23&gt;=0.15,"LONG",IF(D23&lt;=-0.25,"SHORT","NO CALL"))</f>
        <v>NO CALL</v>
      </c>
      <c r="F24" s="7" t="s">
        <v>245</v>
      </c>
    </row>
    <row r="26" customFormat="false" ht="15" hidden="false" customHeight="false" outlineLevel="0" collapsed="false">
      <c r="A26" s="0" t="s">
        <v>246</v>
      </c>
      <c r="D26" s="30" t="n">
        <f aca="false">D20*D22/1000</f>
        <v>26110.68959912</v>
      </c>
      <c r="F26" s="7"/>
    </row>
    <row r="27" customFormat="false" ht="15" hidden="false" customHeight="false" outlineLevel="0" collapsed="false">
      <c r="A27" s="0" t="s">
        <v>247</v>
      </c>
      <c r="D27" s="30" t="n">
        <f aca="false">D26-D18</f>
        <v>24956.85859912</v>
      </c>
      <c r="F27" s="7" t="s">
        <v>248</v>
      </c>
    </row>
    <row r="28" customFormat="false" ht="15" hidden="false" customHeight="false" outlineLevel="0" collapsed="false">
      <c r="A28" s="0" t="s">
        <v>249</v>
      </c>
      <c r="D28" s="38" t="n">
        <f aca="false">D27/Segments!E12</f>
        <v>16.4189859204737</v>
      </c>
      <c r="F28" s="7"/>
    </row>
    <row r="29" customFormat="false" ht="15" hidden="false" customHeight="false" outlineLevel="0" collapsed="false">
      <c r="A29" s="0" t="s">
        <v>250</v>
      </c>
      <c r="D29" s="38" t="n">
        <f aca="false">D27/Segments!G12</f>
        <v>14.8532182804712</v>
      </c>
      <c r="F29" s="7"/>
    </row>
    <row r="30" customFormat="false" ht="15" hidden="false" customHeight="false" outlineLevel="0" collapsed="false">
      <c r="A30" s="0" t="s">
        <v>251</v>
      </c>
      <c r="D30" s="38" t="n">
        <f aca="false">D22/Assumptions!$B$17</f>
        <v>29.0345033310132</v>
      </c>
      <c r="F30" s="7"/>
    </row>
    <row r="31" customFormat="false" ht="15" hidden="false" customHeight="false" outlineLevel="0" collapsed="false">
      <c r="A31" s="0" t="s">
        <v>252</v>
      </c>
      <c r="D31" s="38" t="n">
        <f aca="false">D22/Assumptions!$B$18</f>
        <v>26.9559196861297</v>
      </c>
      <c r="F31" s="7" t="s">
        <v>253</v>
      </c>
    </row>
    <row r="32" customFormat="false" ht="15" hidden="false" customHeight="false" outlineLevel="0" collapsed="false">
      <c r="A32" s="0" t="s">
        <v>254</v>
      </c>
      <c r="D32" s="30" t="n">
        <f aca="false">D27-SUM(D6:D11)</f>
        <v>10491.90859912</v>
      </c>
      <c r="F32" s="7" t="s">
        <v>255</v>
      </c>
    </row>
    <row r="33" customFormat="false" ht="15" hidden="false" customHeight="false" outlineLevel="0" collapsed="false">
      <c r="A33" s="0" t="s">
        <v>256</v>
      </c>
      <c r="D33" s="38" t="n">
        <f aca="false">D32/B5</f>
        <v>15.9717921553034</v>
      </c>
      <c r="F33" s="7"/>
    </row>
    <row r="34" customFormat="false" ht="15" hidden="false" customHeight="false" outlineLevel="0" collapsed="false">
      <c r="A34" s="0" t="s">
        <v>257</v>
      </c>
      <c r="D34" s="30" t="n">
        <f aca="false">D32/Assumptions!$B$68</f>
        <v>65.5744287445</v>
      </c>
      <c r="F34" s="7"/>
    </row>
    <row r="35" customFormat="false" ht="15" hidden="false" customHeight="false" outlineLevel="0" collapsed="false">
      <c r="A35" s="0" t="s">
        <v>258</v>
      </c>
      <c r="D35" s="38" t="n">
        <f aca="false">(D22*1.15*D20/1000-D18-SUM(D6:D11))/B5</f>
        <v>21.9340225260069</v>
      </c>
      <c r="F35" s="7"/>
    </row>
    <row r="36" customFormat="false" ht="15" hidden="false" customHeight="false" outlineLevel="0" collapsed="false">
      <c r="A36" s="0" t="s">
        <v>259</v>
      </c>
      <c r="D36" s="39" t="n">
        <f aca="false">D21/1.15</f>
        <v>5592.90779698136</v>
      </c>
      <c r="F36" s="7" t="s">
        <v>260</v>
      </c>
    </row>
    <row r="37" customFormat="false" ht="15" hidden="false" customHeight="false" outlineLevel="0" collapsed="false">
      <c r="A37" s="0" t="s">
        <v>261</v>
      </c>
      <c r="D37" s="39" t="n">
        <f aca="false">D21/0.75</f>
        <v>8575.79195537142</v>
      </c>
      <c r="F37" s="7" t="s">
        <v>262</v>
      </c>
    </row>
    <row r="38" customFormat="false" ht="15" hidden="false" customHeight="false" outlineLevel="0" collapsed="false">
      <c r="A38" s="0" t="s">
        <v>263</v>
      </c>
      <c r="D38" s="29" t="n">
        <f aca="false">HitachiEnergy!B14</f>
        <v>0.323418803418803</v>
      </c>
      <c r="F38" s="7"/>
    </row>
    <row r="39" customFormat="false" ht="15" hidden="false" customHeight="false" outlineLevel="0" collapsed="false">
      <c r="A39" s="0" t="s">
        <v>264</v>
      </c>
      <c r="D39" s="29" t="n">
        <f aca="false">HitachiEnergy!B15</f>
        <v>0.368421052631579</v>
      </c>
      <c r="F39" s="7"/>
    </row>
    <row r="40" customFormat="false" ht="15" hidden="false" customHeight="false" outlineLevel="0" collapsed="false">
      <c r="A40" s="0" t="s">
        <v>265</v>
      </c>
      <c r="D40" s="29" t="n">
        <f aca="false">D5/D19</f>
        <v>0.456867062776636</v>
      </c>
      <c r="F40" s="7"/>
    </row>
    <row r="41" customFormat="false" ht="15" hidden="false" customHeight="false" outlineLevel="0" collapsed="false">
      <c r="A41" s="0" t="s">
        <v>266</v>
      </c>
      <c r="D41" s="29" t="n">
        <f aca="false">D32/D26</f>
        <v>0.401824262790578</v>
      </c>
      <c r="F41" s="7"/>
    </row>
    <row r="42" customFormat="false" ht="15" hidden="false" customHeight="false" outlineLevel="0" collapsed="false">
      <c r="A42" s="0" t="s">
        <v>267</v>
      </c>
      <c r="D42" s="29" t="n">
        <f aca="false">D22/Assumptions!$B$8-1</f>
        <v>-0.0329524755754264</v>
      </c>
      <c r="F42" s="7" t="s">
        <v>268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4" min="1" style="0" width="12"/>
    <col collapsed="false" customWidth="true" hidden="false" outlineLevel="0" max="5" min="5" style="0" width="13"/>
    <col collapsed="false" customWidth="true" hidden="false" outlineLevel="0" max="7" min="6" style="0" width="14"/>
    <col collapsed="false" customWidth="true" hidden="false" outlineLevel="0" max="8" min="8" style="0" width="15"/>
    <col collapsed="false" customWidth="true" hidden="false" outlineLevel="0" max="9" min="9" style="0" width="13"/>
    <col collapsed="false" customWidth="true" hidden="false" outlineLevel="0" max="10" min="10" style="0" width="11"/>
  </cols>
  <sheetData>
    <row r="1" customFormat="false" ht="15" hidden="false" customHeight="false" outlineLevel="0" collapsed="false">
      <c r="A1" s="1" t="s">
        <v>269</v>
      </c>
    </row>
    <row r="2" customFormat="false" ht="15" hidden="false" customHeight="false" outlineLevel="0" collapsed="false">
      <c r="A2" s="2" t="s">
        <v>1</v>
      </c>
    </row>
    <row r="4" customFormat="false" ht="23.85" hidden="false" customHeight="false" outlineLevel="0" collapsed="false">
      <c r="A4" s="3" t="s">
        <v>270</v>
      </c>
      <c r="B4" s="4" t="s">
        <v>271</v>
      </c>
      <c r="C4" s="4" t="s">
        <v>272</v>
      </c>
      <c r="D4" s="4" t="s">
        <v>273</v>
      </c>
      <c r="E4" s="4" t="s">
        <v>274</v>
      </c>
      <c r="F4" s="4" t="s">
        <v>275</v>
      </c>
      <c r="G4" s="4" t="s">
        <v>276</v>
      </c>
      <c r="H4" s="4" t="s">
        <v>277</v>
      </c>
      <c r="I4" s="4" t="s">
        <v>278</v>
      </c>
      <c r="J4" s="4" t="s">
        <v>279</v>
      </c>
    </row>
    <row r="5" customFormat="false" ht="15" hidden="false" customHeight="false" outlineLevel="0" collapsed="false">
      <c r="A5" s="5" t="s">
        <v>280</v>
      </c>
      <c r="B5" s="17" t="n">
        <v>0.08</v>
      </c>
      <c r="C5" s="17" t="n">
        <v>0.148</v>
      </c>
      <c r="D5" s="20" t="n">
        <v>14</v>
      </c>
      <c r="E5" s="40" t="n">
        <v>-2</v>
      </c>
      <c r="F5" s="30" t="n">
        <f aca="false">HitachiEnergy!$D$5*(1+B5)</f>
        <v>25.542</v>
      </c>
      <c r="G5" s="30" t="n">
        <f aca="false">F5*C5*Assumptions!$B$68</f>
        <v>604.83456</v>
      </c>
      <c r="H5" s="30" t="n">
        <f aca="false">SUMPRODUCT(Valuation!$B$6:$B$11,Valuation!$C$6:$C$11+E5)</f>
        <v>12418.29</v>
      </c>
      <c r="I5" s="39" t="n">
        <f aca="false">(G5*D5+H5+Valuation!$D$18)/Valuation!$D$20*1000</f>
        <v>4929.49294873997</v>
      </c>
      <c r="J5" s="33" t="n">
        <f aca="false">I5/Assumptions!$B$7-1</f>
        <v>-0.155908741654115</v>
      </c>
    </row>
    <row r="6" customFormat="false" ht="15" hidden="false" customHeight="false" outlineLevel="0" collapsed="false">
      <c r="A6" s="5" t="s">
        <v>281</v>
      </c>
      <c r="B6" s="41" t="n">
        <f aca="false">Assumptions!$B$66</f>
        <v>0.12</v>
      </c>
      <c r="C6" s="41" t="n">
        <f aca="false">Assumptions!$B$67</f>
        <v>0.155</v>
      </c>
      <c r="D6" s="32" t="n">
        <f aca="false">Assumptions!$B$75</f>
        <v>20</v>
      </c>
      <c r="E6" s="40" t="n">
        <v>0</v>
      </c>
      <c r="F6" s="30" t="n">
        <f aca="false">HitachiEnergy!$D$5*(1+B6)</f>
        <v>26.488</v>
      </c>
      <c r="G6" s="30" t="n">
        <f aca="false">F6*C6*Assumptions!$B$68</f>
        <v>656.9024</v>
      </c>
      <c r="H6" s="30" t="n">
        <f aca="false">SUMPRODUCT(Valuation!$B$6:$B$11,Valuation!$C$6:$C$11+E6)</f>
        <v>14464.95</v>
      </c>
      <c r="I6" s="39" t="n">
        <f aca="false">(G6*D6+H6+Valuation!$D$18)/Valuation!$D$20*1000</f>
        <v>6431.84396652856</v>
      </c>
      <c r="J6" s="33" t="n">
        <f aca="false">I6/Assumptions!$B$7-1</f>
        <v>0.101343144953521</v>
      </c>
    </row>
    <row r="7" customFormat="false" ht="15" hidden="false" customHeight="false" outlineLevel="0" collapsed="false">
      <c r="A7" s="5" t="s">
        <v>282</v>
      </c>
      <c r="B7" s="17" t="n">
        <v>0.15</v>
      </c>
      <c r="C7" s="17" t="n">
        <v>0.165</v>
      </c>
      <c r="D7" s="20" t="n">
        <v>25</v>
      </c>
      <c r="E7" s="40" t="n">
        <v>2</v>
      </c>
      <c r="F7" s="30" t="n">
        <f aca="false">HitachiEnergy!$D$5*(1+B7)</f>
        <v>27.1975</v>
      </c>
      <c r="G7" s="30" t="n">
        <f aca="false">F7*C7*Assumptions!$B$68</f>
        <v>718.014</v>
      </c>
      <c r="H7" s="30" t="n">
        <f aca="false">SUMPRODUCT(Valuation!$B$6:$B$11,Valuation!$C$6:$C$11+E7)</f>
        <v>16511.61</v>
      </c>
      <c r="I7" s="39" t="n">
        <f aca="false">(G7*D7+H7+Valuation!$D$18)/Valuation!$D$20*1000</f>
        <v>7965.94125369289</v>
      </c>
      <c r="J7" s="33" t="n">
        <f aca="false">I7/Assumptions!$B$7-1</f>
        <v>0.364031036591249</v>
      </c>
    </row>
    <row r="8" customFormat="false" ht="15" hidden="false" customHeight="false" outlineLevel="0" collapsed="false">
      <c r="B8" s="5" t="s">
        <v>280</v>
      </c>
      <c r="C8" s="5" t="s">
        <v>281</v>
      </c>
      <c r="D8" s="5" t="s">
        <v>282</v>
      </c>
    </row>
    <row r="9" customFormat="false" ht="15" hidden="false" customHeight="false" outlineLevel="0" collapsed="false">
      <c r="A9" s="5" t="s">
        <v>283</v>
      </c>
      <c r="B9" s="42" t="n">
        <v>0.25</v>
      </c>
      <c r="C9" s="42" t="n">
        <v>0.5</v>
      </c>
      <c r="D9" s="42" t="n">
        <v>0.25</v>
      </c>
      <c r="E9" s="33" t="n">
        <f aca="false">SUM(B9:D9)</f>
        <v>1</v>
      </c>
      <c r="F9" s="12" t="s">
        <v>284</v>
      </c>
    </row>
    <row r="11" customFormat="false" ht="15" hidden="false" customHeight="false" outlineLevel="0" collapsed="false">
      <c r="A11" s="5" t="s">
        <v>12</v>
      </c>
      <c r="E11" s="35" t="n">
        <f aca="false">B9*I5+C9*I6+D9*I7</f>
        <v>6439.7805338725</v>
      </c>
      <c r="F11" s="29" t="n">
        <f aca="false">E11/Assumptions!$B$7-1</f>
        <v>0.102702146211044</v>
      </c>
    </row>
    <row r="13" customFormat="false" ht="15" hidden="false" customHeight="false" outlineLevel="0" collapsed="false">
      <c r="A13" s="12" t="s">
        <v>285</v>
      </c>
    </row>
    <row r="14" customFormat="false" ht="15" hidden="false" customHeight="false" outlineLevel="0" collapsed="false">
      <c r="A14" s="12" t="s">
        <v>286</v>
      </c>
    </row>
    <row r="15" customFormat="false" ht="15" hidden="false" customHeight="false" outlineLevel="0" collapsed="false">
      <c r="A15" s="12" t="s">
        <v>287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0"/>
    <col collapsed="false" customWidth="true" hidden="false" outlineLevel="0" max="4" min="2" style="0" width="14"/>
  </cols>
  <sheetData>
    <row r="1" customFormat="false" ht="15" hidden="false" customHeight="false" outlineLevel="0" collapsed="false">
      <c r="A1" s="1" t="s">
        <v>288</v>
      </c>
    </row>
    <row r="2" customFormat="false" ht="15" hidden="false" customHeight="false" outlineLevel="0" collapsed="false">
      <c r="A2" s="2" t="s">
        <v>1</v>
      </c>
    </row>
    <row r="4" customFormat="false" ht="15" hidden="false" customHeight="false" outlineLevel="0" collapsed="false">
      <c r="A4" s="3" t="s">
        <v>289</v>
      </c>
      <c r="B4" s="43" t="n">
        <v>16</v>
      </c>
      <c r="C4" s="43" t="n">
        <f aca="false">Assumptions!$B$75</f>
        <v>20</v>
      </c>
      <c r="D4" s="43" t="n">
        <v>24</v>
      </c>
    </row>
    <row r="5" customFormat="false" ht="15" hidden="false" customHeight="false" outlineLevel="0" collapsed="false">
      <c r="A5" s="15" t="n">
        <v>600</v>
      </c>
      <c r="B5" s="39" t="n">
        <f aca="false">($A5*B$4+SUM(Valuation!$D$6:$D$11)+Valuation!$D$18)/Valuation!$D$20*1000</f>
        <v>5640.51288193337</v>
      </c>
      <c r="C5" s="39" t="n">
        <f aca="false">($A5*C$4+SUM(Valuation!$D$6:$D$11)+Valuation!$D$18)/Valuation!$D$20*1000</f>
        <v>6177.30452609096</v>
      </c>
      <c r="D5" s="39" t="n">
        <f aca="false">($A5*D$4+SUM(Valuation!$D$6:$D$11)+Valuation!$D$18)/Valuation!$D$20*1000</f>
        <v>6714.09617024854</v>
      </c>
    </row>
    <row r="6" customFormat="false" ht="15" hidden="false" customHeight="false" outlineLevel="0" collapsed="false">
      <c r="A6" s="31" t="n">
        <f aca="false">HitachiEnergy!E10</f>
        <v>656.9024</v>
      </c>
      <c r="B6" s="39" t="n">
        <f aca="false">($A6*B$4+SUM(Valuation!$D$6:$D$11)+Valuation!$D$18)/Valuation!$D$20*1000</f>
        <v>5844.14443428346</v>
      </c>
      <c r="C6" s="44" t="n">
        <f aca="false">($A6*C$4+SUM(Valuation!$D$6:$D$11)+Valuation!$D$18)/Valuation!$D$20*1000</f>
        <v>6431.84396652856</v>
      </c>
      <c r="D6" s="39" t="n">
        <f aca="false">($A6*D$4+SUM(Valuation!$D$6:$D$11)+Valuation!$D$18)/Valuation!$D$20*1000</f>
        <v>7019.54349877367</v>
      </c>
    </row>
    <row r="7" customFormat="false" ht="15" hidden="false" customHeight="false" outlineLevel="0" collapsed="false">
      <c r="A7" s="15" t="n">
        <v>720</v>
      </c>
      <c r="B7" s="39" t="n">
        <f aca="false">($A7*B$4+SUM(Valuation!$D$6:$D$11)+Valuation!$D$18)/Valuation!$D$20*1000</f>
        <v>6069.94619725944</v>
      </c>
      <c r="C7" s="39" t="n">
        <f aca="false">($A7*C$4+SUM(Valuation!$D$6:$D$11)+Valuation!$D$18)/Valuation!$D$20*1000</f>
        <v>6714.09617024854</v>
      </c>
      <c r="D7" s="39" t="n">
        <f aca="false">($A7*D$4+SUM(Valuation!$D$6:$D$11)+Valuation!$D$18)/Valuation!$D$20*1000</f>
        <v>7358.24614323764</v>
      </c>
    </row>
    <row r="9" customFormat="false" ht="15" hidden="false" customHeight="false" outlineLevel="0" collapsed="false">
      <c r="A9" s="5" t="s">
        <v>290</v>
      </c>
      <c r="B9" s="0" t="n">
        <f aca="false">COUNTIF(B5:D7,"&gt;"&amp;Assumptions!$B$7)</f>
        <v>8</v>
      </c>
      <c r="C9" s="0" t="s">
        <v>291</v>
      </c>
    </row>
    <row r="10" customFormat="false" ht="15" hidden="false" customHeight="false" outlineLevel="0" collapsed="false">
      <c r="A10" s="5" t="s">
        <v>292</v>
      </c>
      <c r="B10" s="0" t="n">
        <f aca="false">COUNTIF(B5:D7,"&gt;="&amp;Assumptions!$B$7*1.15)</f>
        <v>2</v>
      </c>
      <c r="C10" s="0" t="s">
        <v>291</v>
      </c>
    </row>
    <row r="12" customFormat="false" ht="15" hidden="false" customHeight="false" outlineLevel="0" collapsed="false">
      <c r="A12" s="12" t="s">
        <v>293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56"/>
    <col collapsed="false" customWidth="true" hidden="false" outlineLevel="0" max="7" min="2" style="0" width="11"/>
  </cols>
  <sheetData>
    <row r="1" customFormat="false" ht="15" hidden="false" customHeight="false" outlineLevel="0" collapsed="false">
      <c r="A1" s="1" t="s">
        <v>294</v>
      </c>
    </row>
    <row r="2" customFormat="false" ht="15" hidden="false" customHeight="false" outlineLevel="0" collapsed="false">
      <c r="A2" s="2" t="s">
        <v>1</v>
      </c>
    </row>
    <row r="4" customFormat="false" ht="15" hidden="false" customHeight="false" outlineLevel="0" collapsed="false">
      <c r="A4" s="3" t="s">
        <v>177</v>
      </c>
      <c r="B4" s="4" t="s">
        <v>295</v>
      </c>
      <c r="C4" s="4" t="s">
        <v>296</v>
      </c>
      <c r="D4" s="4" t="s">
        <v>297</v>
      </c>
      <c r="E4" s="4" t="s">
        <v>298</v>
      </c>
      <c r="F4" s="4" t="s">
        <v>299</v>
      </c>
      <c r="G4" s="4" t="s">
        <v>300</v>
      </c>
    </row>
    <row r="5" customFormat="false" ht="15" hidden="false" customHeight="false" outlineLevel="0" collapsed="false">
      <c r="A5" s="5" t="s">
        <v>301</v>
      </c>
      <c r="B5" s="15" t="n">
        <v>43.6</v>
      </c>
      <c r="C5" s="15" t="n">
        <v>47.6</v>
      </c>
      <c r="D5" s="15" t="n">
        <v>49.7</v>
      </c>
      <c r="E5" s="15" t="n">
        <v>56.7</v>
      </c>
      <c r="F5" s="15" t="n">
        <v>57.9</v>
      </c>
      <c r="G5" s="15" t="n">
        <v>63.6</v>
      </c>
    </row>
    <row r="6" customFormat="false" ht="15" hidden="false" customHeight="false" outlineLevel="0" collapsed="false">
      <c r="A6" s="0" t="s">
        <v>302</v>
      </c>
      <c r="B6" s="30" t="n">
        <f aca="false">Assumptions!$B$51</f>
        <v>15.7</v>
      </c>
      <c r="F6" s="30" t="n">
        <f aca="false">Assumptions!$B$52</f>
        <v>19.8</v>
      </c>
      <c r="G6" s="30" t="n">
        <f aca="false">Assumptions!$B$52-Assumptions!$B$63+Assumptions!$B$64</f>
        <v>20.79</v>
      </c>
    </row>
    <row r="7" customFormat="false" ht="15" hidden="false" customHeight="false" outlineLevel="0" collapsed="false">
      <c r="A7" s="0" t="s">
        <v>303</v>
      </c>
      <c r="B7" s="45" t="n">
        <f aca="false">B5/B6</f>
        <v>2.77707006369427</v>
      </c>
      <c r="F7" s="45" t="n">
        <f aca="false">F5/F6</f>
        <v>2.92424242424242</v>
      </c>
      <c r="G7" s="45" t="n">
        <f aca="false">G5/G6</f>
        <v>3.05916305916306</v>
      </c>
    </row>
    <row r="8" customFormat="false" ht="15" hidden="false" customHeight="false" outlineLevel="0" collapsed="false">
      <c r="A8" s="0" t="s">
        <v>304</v>
      </c>
      <c r="B8" s="29" t="n">
        <f aca="false">G5/B5-1</f>
        <v>0.458715596330275</v>
      </c>
    </row>
    <row r="10" customFormat="false" ht="15" hidden="false" customHeight="false" outlineLevel="0" collapsed="false">
      <c r="A10" s="0" t="s">
        <v>305</v>
      </c>
      <c r="B10" s="46" t="n">
        <v>2.5</v>
      </c>
    </row>
    <row r="11" customFormat="false" ht="15" hidden="false" customHeight="false" outlineLevel="0" collapsed="false">
      <c r="A11" s="0" t="s">
        <v>306</v>
      </c>
      <c r="B11" s="45" t="n">
        <f aca="false">100/Assumptions!$B$62</f>
        <v>2.77777777777778</v>
      </c>
    </row>
    <row r="13" customFormat="false" ht="15" hidden="false" customHeight="false" outlineLevel="0" collapsed="false">
      <c r="A13" s="11" t="s">
        <v>307</v>
      </c>
    </row>
    <row r="14" customFormat="false" ht="23.85" hidden="false" customHeight="false" outlineLevel="0" collapsed="false">
      <c r="A14" s="3" t="s">
        <v>308</v>
      </c>
      <c r="B14" s="4" t="s">
        <v>309</v>
      </c>
      <c r="C14" s="4" t="s">
        <v>183</v>
      </c>
      <c r="D14" s="4" t="s">
        <v>310</v>
      </c>
    </row>
    <row r="15" customFormat="false" ht="15" hidden="false" customHeight="false" outlineLevel="0" collapsed="false">
      <c r="A15" s="0" t="s">
        <v>311</v>
      </c>
      <c r="B15" s="15" t="n">
        <v>27.9</v>
      </c>
      <c r="C15" s="31" t="n">
        <f aca="false">Assumptions!$B$51</f>
        <v>15.7</v>
      </c>
      <c r="D15" s="45" t="n">
        <f aca="false">B15/C15</f>
        <v>1.77707006369427</v>
      </c>
    </row>
    <row r="16" customFormat="false" ht="15" hidden="false" customHeight="false" outlineLevel="0" collapsed="false">
      <c r="A16" s="0" t="s">
        <v>312</v>
      </c>
      <c r="B16" s="15" t="n">
        <v>32.8</v>
      </c>
      <c r="C16" s="31" t="n">
        <f aca="false">Assumptions!$B$52</f>
        <v>19.8</v>
      </c>
      <c r="D16" s="45" t="n">
        <f aca="false">B16/C16</f>
        <v>1.65656565656566</v>
      </c>
    </row>
    <row r="17" customFormat="false" ht="15" hidden="false" customHeight="false" outlineLevel="0" collapsed="false">
      <c r="A17" s="0" t="s">
        <v>313</v>
      </c>
      <c r="B17" s="47" t="n">
        <v>1871.6</v>
      </c>
      <c r="C17" s="47" t="n">
        <v>867.8</v>
      </c>
      <c r="D17" s="45" t="n">
        <f aca="false">B17/C17</f>
        <v>2.15671813781977</v>
      </c>
    </row>
    <row r="19" customFormat="false" ht="15" hidden="false" customHeight="false" outlineLevel="0" collapsed="false">
      <c r="A19" s="12" t="s">
        <v>314</v>
      </c>
    </row>
    <row r="20" customFormat="false" ht="15" hidden="false" customHeight="false" outlineLevel="0" collapsed="false">
      <c r="A20" s="12" t="s">
        <v>315</v>
      </c>
    </row>
    <row r="21" customFormat="false" ht="15" hidden="false" customHeight="false" outlineLevel="0" collapsed="false">
      <c r="A21" s="12" t="s">
        <v>316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22"/>
    <col collapsed="false" customWidth="true" hidden="false" outlineLevel="0" max="2" min="2" style="0" width="14"/>
    <col collapsed="false" customWidth="true" hidden="false" outlineLevel="0" max="3" min="3" style="0" width="13"/>
    <col collapsed="false" customWidth="true" hidden="false" outlineLevel="0" max="4" min="4" style="0" width="18"/>
    <col collapsed="false" customWidth="true" hidden="false" outlineLevel="0" max="5" min="5" style="0" width="70"/>
  </cols>
  <sheetData>
    <row r="1" customFormat="false" ht="15" hidden="false" customHeight="false" outlineLevel="0" collapsed="false">
      <c r="A1" s="1" t="s">
        <v>317</v>
      </c>
    </row>
    <row r="2" customFormat="false" ht="15" hidden="false" customHeight="false" outlineLevel="0" collapsed="false">
      <c r="A2" s="2" t="s">
        <v>1</v>
      </c>
    </row>
    <row r="4" customFormat="false" ht="15" hidden="false" customHeight="false" outlineLevel="0" collapsed="false">
      <c r="A4" s="3" t="s">
        <v>318</v>
      </c>
      <c r="B4" s="4" t="s">
        <v>319</v>
      </c>
      <c r="C4" s="4" t="s">
        <v>320</v>
      </c>
      <c r="D4" s="4" t="s">
        <v>321</v>
      </c>
      <c r="E4" s="4" t="s">
        <v>322</v>
      </c>
    </row>
    <row r="5" customFormat="false" ht="15" hidden="false" customHeight="false" outlineLevel="0" collapsed="false">
      <c r="A5" s="5" t="s">
        <v>323</v>
      </c>
      <c r="B5" s="0" t="s">
        <v>324</v>
      </c>
      <c r="C5" s="46" t="n">
        <v>25</v>
      </c>
      <c r="D5" s="46" t="n">
        <v>19.33</v>
      </c>
      <c r="E5" s="7" t="s">
        <v>325</v>
      </c>
    </row>
    <row r="6" customFormat="false" ht="15" hidden="false" customHeight="false" outlineLevel="0" collapsed="false">
      <c r="A6" s="23" t="s">
        <v>326</v>
      </c>
      <c r="B6" s="0" t="s">
        <v>327</v>
      </c>
      <c r="C6" s="46" t="n">
        <v>22.99</v>
      </c>
      <c r="D6" s="46" t="n">
        <v>27.91</v>
      </c>
      <c r="E6" s="7" t="s">
        <v>328</v>
      </c>
    </row>
    <row r="7" customFormat="false" ht="15" hidden="false" customHeight="false" outlineLevel="0" collapsed="false">
      <c r="A7" s="23" t="s">
        <v>329</v>
      </c>
      <c r="B7" s="0" t="s">
        <v>330</v>
      </c>
      <c r="C7" s="46" t="n">
        <v>23.89</v>
      </c>
      <c r="D7" s="46" t="n">
        <v>24.46</v>
      </c>
      <c r="E7" s="7" t="s">
        <v>331</v>
      </c>
    </row>
    <row r="8" customFormat="false" ht="15" hidden="false" customHeight="false" outlineLevel="0" collapsed="false">
      <c r="A8" s="23" t="s">
        <v>332</v>
      </c>
      <c r="B8" s="0" t="s">
        <v>333</v>
      </c>
      <c r="C8" s="46" t="n">
        <v>20.55</v>
      </c>
      <c r="D8" s="46" t="n">
        <v>20.8</v>
      </c>
      <c r="E8" s="7" t="s">
        <v>334</v>
      </c>
    </row>
    <row r="9" customFormat="false" ht="15" hidden="false" customHeight="false" outlineLevel="0" collapsed="false">
      <c r="A9" s="23" t="s">
        <v>335</v>
      </c>
      <c r="B9" s="0" t="s">
        <v>336</v>
      </c>
      <c r="C9" s="46" t="n">
        <v>26</v>
      </c>
      <c r="D9" s="46" t="n">
        <v>31.83</v>
      </c>
      <c r="E9" s="7" t="s">
        <v>337</v>
      </c>
    </row>
    <row r="10" customFormat="false" ht="15" hidden="false" customHeight="false" outlineLevel="0" collapsed="false">
      <c r="A10" s="23" t="s">
        <v>338</v>
      </c>
      <c r="B10" s="0" t="s">
        <v>339</v>
      </c>
      <c r="C10" s="46" t="n">
        <v>19.84</v>
      </c>
      <c r="D10" s="46" t="n">
        <v>21.11</v>
      </c>
      <c r="E10" s="7" t="s">
        <v>340</v>
      </c>
    </row>
    <row r="11" customFormat="false" ht="15" hidden="false" customHeight="false" outlineLevel="0" collapsed="false">
      <c r="A11" s="23" t="s">
        <v>341</v>
      </c>
      <c r="B11" s="0" t="s">
        <v>342</v>
      </c>
      <c r="C11" s="46" t="n">
        <v>23.73</v>
      </c>
      <c r="D11" s="46" t="n">
        <v>17.37</v>
      </c>
      <c r="E11" s="7" t="s">
        <v>343</v>
      </c>
    </row>
    <row r="12" customFormat="false" ht="15" hidden="false" customHeight="false" outlineLevel="0" collapsed="false">
      <c r="A12" s="23" t="s">
        <v>344</v>
      </c>
      <c r="B12" s="0" t="s">
        <v>345</v>
      </c>
      <c r="C12" s="46" t="n">
        <v>23.5</v>
      </c>
      <c r="D12" s="46" t="n">
        <v>19.13</v>
      </c>
      <c r="E12" s="7" t="s">
        <v>346</v>
      </c>
    </row>
    <row r="13" customFormat="false" ht="15" hidden="false" customHeight="false" outlineLevel="0" collapsed="false">
      <c r="A13" s="23" t="s">
        <v>347</v>
      </c>
      <c r="B13" s="0" t="s">
        <v>348</v>
      </c>
      <c r="C13" s="46" t="n">
        <v>18.28</v>
      </c>
      <c r="D13" s="46" t="n">
        <v>19.09</v>
      </c>
      <c r="E13" s="7" t="s">
        <v>349</v>
      </c>
    </row>
    <row r="14" customFormat="false" ht="15" hidden="false" customHeight="false" outlineLevel="0" collapsed="false">
      <c r="A14" s="23" t="s">
        <v>350</v>
      </c>
      <c r="B14" s="0" t="s">
        <v>351</v>
      </c>
      <c r="C14" s="46" t="n">
        <v>9.5</v>
      </c>
      <c r="D14" s="46" t="n">
        <v>10.33</v>
      </c>
      <c r="E14" s="7" t="s">
        <v>352</v>
      </c>
    </row>
    <row r="16" customFormat="false" ht="15" hidden="false" customHeight="false" outlineLevel="0" collapsed="false">
      <c r="A16" s="5" t="s">
        <v>353</v>
      </c>
      <c r="C16" s="38" t="n">
        <f aca="false">MEDIAN(C6:C10)</f>
        <v>22.99</v>
      </c>
      <c r="D16" s="38" t="n">
        <f aca="false">MEDIAN(D6:D10)</f>
        <v>24.46</v>
      </c>
    </row>
    <row r="17" customFormat="false" ht="15" hidden="false" customHeight="false" outlineLevel="0" collapsed="false">
      <c r="A17" s="5" t="s">
        <v>354</v>
      </c>
      <c r="C17" s="38" t="n">
        <f aca="false">MEDIAN(C11:C12)</f>
        <v>23.615</v>
      </c>
      <c r="D17" s="38" t="n">
        <f aca="false">MEDIAN(D11:D12)</f>
        <v>18.25</v>
      </c>
    </row>
    <row r="19" customFormat="false" ht="15" hidden="false" customHeight="false" outlineLevel="0" collapsed="false">
      <c r="A19" s="12" t="s">
        <v>355</v>
      </c>
    </row>
    <row r="20" customFormat="false" ht="15" hidden="false" customHeight="false" outlineLevel="0" collapsed="false">
      <c r="A20" s="12" t="s">
        <v>356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6"/>
    <col collapsed="false" customWidth="true" hidden="false" outlineLevel="0" max="2" min="2" style="0" width="140"/>
  </cols>
  <sheetData>
    <row r="1" customFormat="false" ht="15" hidden="false" customHeight="false" outlineLevel="0" collapsed="false">
      <c r="A1" s="1" t="s">
        <v>357</v>
      </c>
    </row>
    <row r="2" customFormat="false" ht="15" hidden="false" customHeight="false" outlineLevel="0" collapsed="false">
      <c r="A2" s="2" t="s">
        <v>1</v>
      </c>
    </row>
    <row r="4" customFormat="false" ht="15" hidden="false" customHeight="false" outlineLevel="0" collapsed="false">
      <c r="A4" s="3" t="s">
        <v>358</v>
      </c>
      <c r="B4" s="4" t="s">
        <v>359</v>
      </c>
    </row>
    <row r="5" customFormat="false" ht="23.85" hidden="false" customHeight="false" outlineLevel="0" collapsed="false">
      <c r="A5" s="0" t="n">
        <v>1</v>
      </c>
      <c r="B5" s="7" t="s">
        <v>360</v>
      </c>
    </row>
    <row r="6" customFormat="false" ht="23.85" hidden="false" customHeight="false" outlineLevel="0" collapsed="false">
      <c r="A6" s="0" t="n">
        <v>2</v>
      </c>
      <c r="B6" s="7" t="s">
        <v>361</v>
      </c>
    </row>
    <row r="7" customFormat="false" ht="23.85" hidden="false" customHeight="false" outlineLevel="0" collapsed="false">
      <c r="A7" s="0" t="n">
        <v>3</v>
      </c>
      <c r="B7" s="7" t="s">
        <v>362</v>
      </c>
    </row>
    <row r="8" customFormat="false" ht="23.85" hidden="false" customHeight="false" outlineLevel="0" collapsed="false">
      <c r="A8" s="0" t="n">
        <v>4</v>
      </c>
      <c r="B8" s="7" t="s">
        <v>363</v>
      </c>
    </row>
    <row r="9" customFormat="false" ht="23.85" hidden="false" customHeight="false" outlineLevel="0" collapsed="false">
      <c r="A9" s="0" t="n">
        <v>5</v>
      </c>
      <c r="B9" s="7" t="s">
        <v>364</v>
      </c>
    </row>
    <row r="10" customFormat="false" ht="15" hidden="false" customHeight="false" outlineLevel="0" collapsed="false">
      <c r="A10" s="0" t="n">
        <v>6</v>
      </c>
      <c r="B10" s="7" t="s">
        <v>365</v>
      </c>
    </row>
    <row r="11" customFormat="false" ht="15" hidden="false" customHeight="false" outlineLevel="0" collapsed="false">
      <c r="A11" s="0" t="n">
        <v>7</v>
      </c>
      <c r="B11" s="7" t="s">
        <v>366</v>
      </c>
    </row>
    <row r="12" customFormat="false" ht="15" hidden="false" customHeight="false" outlineLevel="0" collapsed="false">
      <c r="A12" s="0" t="n">
        <v>8</v>
      </c>
      <c r="B12" s="7" t="s">
        <v>367</v>
      </c>
    </row>
    <row r="13" customFormat="false" ht="23.85" hidden="false" customHeight="false" outlineLevel="0" collapsed="false">
      <c r="A13" s="0" t="n">
        <v>9</v>
      </c>
      <c r="B13" s="7" t="s">
        <v>368</v>
      </c>
    </row>
    <row r="14" customFormat="false" ht="15" hidden="false" customHeight="false" outlineLevel="0" collapsed="false">
      <c r="A14" s="0" t="n">
        <v>10</v>
      </c>
      <c r="B14" s="7" t="s">
        <v>369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LibreOffice/26.8.0.3$MacOSX_AARCH64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2026-10-22T05:21:16Z</dcterms:created>
  <dc:creator>openpyxl</dc:creator>
  <dc:description/>
  <dc:language>en-GB</dc:language>
  <cp:lastModifiedBy/>
  <dcterms:modified xsi:type="dcterms:W3CDTF">2026-10-22T05:21:16Z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