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Financials" sheetId="4" state="visible" r:id="rId6"/>
    <sheet name="DataCentre" sheetId="5" state="visible" r:id="rId7"/>
    <sheet name="Scenarios" sheetId="6" state="visible" r:id="rId8"/>
    <sheet name="Valuation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<sst xmlns="http://schemas.openxmlformats.org/spreadsheetml/2006/main" count="441" uniqueCount="351">
  <si>
    <t xml:space="preserve">MARVELL TECHNOLOGY (NASDAQ: MRVL)  INITIATION MODEL</t>
  </si>
  <si>
    <t xml:space="preserve">Tommy Lau | Marvell Technology (Nasdaq: MRVL) | 8 October 2026 | Non-GAAP basis; fiscal years to about 31 January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</si>
  <si>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</si>
  <si>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</si>
  <si>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</si>
  <si>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</si>
  <si>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call.</t>
  </si>
  <si>
    <t xml:space="preserve">Conviction</t>
  </si>
  <si>
    <t xml:space="preserve">Medium</t>
  </si>
  <si>
    <t xml:space="preserve">Judgement, not formula.</t>
  </si>
  <si>
    <t xml:space="preserve">Reference price, US$</t>
  </si>
  <si>
    <t xml:space="preserve">Nasdaq close, 7 October 2026.</t>
  </si>
  <si>
    <t xml:space="preserve">Base value, US$</t>
  </si>
  <si>
    <t xml:space="preserve">33x FY29E EPS.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</si>
  <si>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</si>
  <si>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</si>
  <si>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</si>
  <si>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FY27E / FY28E / FY29E EPS, US$</t>
  </si>
  <si>
    <t xml:space="preserve">Own estimates, non-GAAP, diluted.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</si>
  <si>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</si>
  <si>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</si>
  <si>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</si>
  <si>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</si>
  <si>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The shares close below US$230 by October 2027, or Marvell's fiscal 2028 revenue, the year to January 2028, comes in below US$18 billion.</t>
  </si>
  <si>
    <t xml:space="preserve">What would change my view</t>
  </si>
  <si>
    <t xml:space="preserve">Into no call: a price above about US$310 on unchanged estimates, or FY29 earnings below about US$9.92 a share, such as a custom target cut back towards US$10bn.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</si>
  <si>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</si>
  <si>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</si>
  <si>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</si>
  <si>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</si>
  <si>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Q1 FY25 to Q2 FY27 reported; my Q3 and Q4 FY27.</t>
  </si>
  <si>
    <t xml:space="preserve">Financials</t>
  </si>
  <si>
    <t xml:space="preserve">FY24A to FY29E: revenue, margins, operating income, net profit, EPS, P/E, consensus.</t>
  </si>
  <si>
    <t xml:space="preserve">DataCentre</t>
  </si>
  <si>
    <t xml:space="preserve">Custom, switching and the remainder (interconnect, storage and other): the claim's test.</t>
  </si>
  <si>
    <t xml:space="preserve">Scenarios</t>
  </si>
  <si>
    <t xml:space="preserve">Bear / base / bull and the probability-weighted value.</t>
  </si>
  <si>
    <t xml:space="preserve">Valuation</t>
  </si>
  <si>
    <t xml:space="preserve">Base value, market value, multiples, what the price needs, dilution.</t>
  </si>
  <si>
    <t xml:space="preserve">Sensitivity</t>
  </si>
  <si>
    <t xml:space="preserve">FY29E EPS against multiple.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</si>
  <si>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</si>
  <si>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</si>
  <si>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</si>
  <si>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</si>
  <si>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</si>
  <si>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2026-10-08_Marvell_Initiation.pdf.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</si>
  <si>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</si>
  <si>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US$; shares in billions.</t>
  </si>
  <si>
    <t xml:space="preserve">Input</t>
  </si>
  <si>
    <t xml:space="preserve">Unit</t>
  </si>
  <si>
    <t xml:space="preserve">Source / note</t>
  </si>
  <si>
    <t xml:space="preserve">MARKET (retrieved 6 to 8 October 2026)</t>
  </si>
  <si>
    <t xml:space="preserve">Share price (Nasdaq: MRVL)</t>
  </si>
  <si>
    <t xml:space="preserve">US$</t>
  </si>
  <si>
    <t xml:space="preserve">Nasdaq close, 7 October 2026 (stockanalysis.com, 4:00pm EDT).</t>
  </si>
  <si>
    <t xml:space="preserve">52-week high (intraday, 18 June 2026)</t>
  </si>
  <si>
    <t xml:space="preserve">Nasdaq.com.</t>
  </si>
  <si>
    <t xml:space="preserve">Highest close (4 June 2026)</t>
  </si>
  <si>
    <t xml:space="preserve">52-week low (intraday, 5 February 2026)</t>
  </si>
  <si>
    <t xml:space="preserve">Nasdaq.com (70.685).</t>
  </si>
  <si>
    <t xml:space="preserve">Lowest close (4 February 2026)</t>
  </si>
  <si>
    <t xml:space="preserve">Close, 31 Dec 2025</t>
  </si>
  <si>
    <t xml:space="preserve">Close, 25 Sep 2026 (last close before the journal piece)</t>
  </si>
  <si>
    <t xml:space="preserve">Nasdaq.com (261.935).</t>
  </si>
  <si>
    <t xml:space="preserve">Common shares outstanding, 21 Aug 2026</t>
  </si>
  <si>
    <t xml:space="preserve">bn</t>
  </si>
  <si>
    <t xml:space="preserve">10-Q cover: 876.9 million.</t>
  </si>
  <si>
    <t xml:space="preserve">Nvidia Series A preferred, as converted</t>
  </si>
  <si>
    <t xml:space="preserve">8-K of 31 March 2026: up to 21,778,000 common shares.</t>
  </si>
  <si>
    <t xml:space="preserve">Preferred conversion price</t>
  </si>
  <si>
    <t xml:space="preserve">8-K of 31 March 2026: about US$91.8355; US$2.0bn paid.</t>
  </si>
  <si>
    <t xml:space="preserve">Cash and cash equivalents, 1 Aug 2026</t>
  </si>
  <si>
    <t xml:space="preserve">US$bn</t>
  </si>
  <si>
    <t xml:space="preserve">Q2 FY27 release balance sheet.</t>
  </si>
  <si>
    <t xml:space="preserve">Long-term debt, 1 Aug 2026</t>
  </si>
  <si>
    <t xml:space="preserve">Q2 FY27 release; no short-term debt.</t>
  </si>
  <si>
    <t xml:space="preserve">Google warrant, shares</t>
  </si>
  <si>
    <t xml:space="preserve">8-K of 19 Aug 2026: 58,970,907 shares.</t>
  </si>
  <si>
    <t xml:space="preserve">Google warrant exercise price</t>
  </si>
  <si>
    <t xml:space="preserve">Same.</t>
  </si>
  <si>
    <t xml:space="preserve">Custom revenue per vesting tranche</t>
  </si>
  <si>
    <t xml:space="preserve">Same: one tranche per US$500m; 240 tranches.</t>
  </si>
  <si>
    <t xml:space="preserve">Number of revenue tranches</t>
  </si>
  <si>
    <t xml:space="preserve">no.</t>
  </si>
  <si>
    <t xml:space="preserve">FY27 consensus EPS</t>
  </si>
  <si>
    <t xml:space="preserve">stockanalysis.com, updated 7 Oct 2026, 40 analysts.</t>
  </si>
  <si>
    <t xml:space="preserve">FY28 consensus EPS</t>
  </si>
  <si>
    <t xml:space="preserve">stockanalysis.com (S&amp;P Global, updated 2 Oct 2026, before the Investor Day).</t>
  </si>
  <si>
    <t xml:space="preserve">Average analyst target</t>
  </si>
  <si>
    <t xml:space="preserve">stockanalysis.com, updated 7 Oct 2026, 46 analysts; range 210 to 450.</t>
  </si>
  <si>
    <t xml:space="preserve">Forward P/E shown by stockanalysis.com</t>
  </si>
  <si>
    <t xml:space="preserve">x</t>
  </si>
  <si>
    <t xml:space="preserve">stockanalysis.com, at the 7 October 2026 close.</t>
  </si>
  <si>
    <t xml:space="preserve">REPORTED AND GUIDED (Marvell releases, 10-Q, calls)</t>
  </si>
  <si>
    <t xml:space="preserve">Q3 FY27 revenue guide, midpoint</t>
  </si>
  <si>
    <t xml:space="preserve">Release of 27 August 2026: US$3.150bn +/- 5%.</t>
  </si>
  <si>
    <t xml:space="preserve">Q3 FY27 non-GAAP gross margin guide, low</t>
  </si>
  <si>
    <t xml:space="preserve">%</t>
  </si>
  <si>
    <t xml:space="preserve">Q3 FY27 non-GAAP gross margin guide, high</t>
  </si>
  <si>
    <t xml:space="preserve">Q3 FY27 non-GAAP operating expenses guide</t>
  </si>
  <si>
    <t xml:space="preserve">Same: about US$655m.</t>
  </si>
  <si>
    <t xml:space="preserve">Non-GAAP interest and other, per quarter</t>
  </si>
  <si>
    <t xml:space="preserve">Q2 FY27 call: about US$36m expense in Q3.</t>
  </si>
  <si>
    <t xml:space="preserve">Non-GAAP tax rate, FY27</t>
  </si>
  <si>
    <t xml:space="preserve">Release and call of 27 August 2026: 11%.</t>
  </si>
  <si>
    <t xml:space="preserve">Q3 FY27 non-GAAP EPS guide, low</t>
  </si>
  <si>
    <t xml:space="preserve">Q3 FY27 non-GAAP EPS guide, high</t>
  </si>
  <si>
    <t xml:space="preserve">FY27 revenue outlook</t>
  </si>
  <si>
    <t xml:space="preserve">Q2 FY27 call: roughly US$12 billion.</t>
  </si>
  <si>
    <t xml:space="preserve">FY27 non-GAAP operating expenses outlook</t>
  </si>
  <si>
    <t xml:space="preserve">Q2 FY27 call: about US$2.55bn.</t>
  </si>
  <si>
    <t xml:space="preserve">FY28 revenue outlook</t>
  </si>
  <si>
    <t xml:space="preserve">Investor Day deck, 6 October 2026 (slide 33): about US$20bn, 67% growth; was US$18bn on the Q2 FY27 call.</t>
  </si>
  <si>
    <t xml:space="preserve">Non-GAAP tax rate, FY28</t>
  </si>
  <si>
    <t xml:space="preserve">Q2 FY27 call: approximately 13%.</t>
  </si>
  <si>
    <t xml:space="preserve">Custom revenue, FY26</t>
  </si>
  <si>
    <t xml:space="preserve">Q4 FY26 call (5 March 2026): US$1.5 billion.</t>
  </si>
  <si>
    <t xml:space="preserve">Data centre switching revenue, FY26</t>
  </si>
  <si>
    <t xml:space="preserve">Q4 FY26 call: exceeding US$300 million.</t>
  </si>
  <si>
    <t xml:space="preserve">Stock-based pay, Q2 FY27</t>
  </si>
  <si>
    <t xml:space="preserve">Q2 FY27 release reconciliation.</t>
  </si>
  <si>
    <t xml:space="preserve">Stock-based pay, Q2 FY26</t>
  </si>
  <si>
    <t xml:space="preserve">MY ASSUMPTIONS</t>
  </si>
  <si>
    <t xml:space="preserve">Revenue, Q4 FY27</t>
  </si>
  <si>
    <t xml:space="preserve">MINE. What the US$12bn outlook leaves after Q1, Q2 and the Q3 midpoint.</t>
  </si>
  <si>
    <t xml:space="preserve">Non-GAAP gross margin, Q3 and Q4 FY27</t>
  </si>
  <si>
    <t xml:space="preserve">MINE. Guide 57.5 to 58.5% for Q3, same range in Q4.</t>
  </si>
  <si>
    <t xml:space="preserve">Diluted shares, Q3 FY27</t>
  </si>
  <si>
    <t xml:space="preserve">MINE: the company's guide of 921m.</t>
  </si>
  <si>
    <t xml:space="preserve">Diluted shares, Q4 FY27</t>
  </si>
  <si>
    <t xml:space="preserve">MINE.</t>
  </si>
  <si>
    <t xml:space="preserve">Non-GAAP gross margin, FY28</t>
  </si>
  <si>
    <t xml:space="preserve">MINE. CFO: same range as the second half of FY27.</t>
  </si>
  <si>
    <t xml:space="preserve">FY28 opex growth as a share of revenue growth</t>
  </si>
  <si>
    <t xml:space="preserve">MINE. CFO: roughly half the rate.</t>
  </si>
  <si>
    <t xml:space="preserve">Non-GAAP interest and other, FY28</t>
  </si>
  <si>
    <t xml:space="preserve">Diluted shares, FY28</t>
  </si>
  <si>
    <t xml:space="preserve">MINE. Awards, warrant and Celestial shares, net of buybacks.</t>
  </si>
  <si>
    <t xml:space="preserve">Non-GAAP interest and other, FY29</t>
  </si>
  <si>
    <t xml:space="preserve">Non-GAAP tax rate, FY29</t>
  </si>
  <si>
    <t xml:space="preserve">MINE. The Investor Day FY31 model rate (slide 142).</t>
  </si>
  <si>
    <t xml:space="preserve">Diluted shares, FY29</t>
  </si>
  <si>
    <t xml:space="preserve">Target multiple on FY29E EPS (base)</t>
  </si>
  <si>
    <t xml:space="preserve">MINE. Median forward P/E of six peers (Peers tab), rounded.</t>
  </si>
  <si>
    <t xml:space="preserve">Communications and other revenue, FY27</t>
  </si>
  <si>
    <t xml:space="preserve">MINE. About 10% growth (Q2 FY27 call).</t>
  </si>
  <si>
    <t xml:space="preserve">Communications and other revenue, FY28</t>
  </si>
  <si>
    <t xml:space="preserve">MINE. FY28 outlook of US$20bn less data centre of about US$18bn (Investor Day, slides 33 and 36).</t>
  </si>
  <si>
    <t xml:space="preserve">Custom revenue, FY27</t>
  </si>
  <si>
    <t xml:space="preserve">MINE. Guided more than 20% growth in March; H2 acceleration since.</t>
  </si>
  <si>
    <t xml:space="preserve">Data centre switching revenue, FY27</t>
  </si>
  <si>
    <t xml:space="preserve">MINE. Guided above US$600m; more than double.</t>
  </si>
  <si>
    <t xml:space="preserve">Custom revenue, FY28</t>
  </si>
  <si>
    <t xml:space="preserve">MINE. Below US$4bn: the FY29 target of US$12bn+ is more than 3x FY28 (slide 28).</t>
  </si>
  <si>
    <t xml:space="preserve">Data centre switching revenue, FY28</t>
  </si>
  <si>
    <t xml:space="preserve">MINE. Scale-out switching above US$1bn in FY28 (slide 122), plus scale-up.</t>
  </si>
  <si>
    <t xml:space="preserve">QUARTERLY HISTORY, Q1 FY25 TO Q2 FY27, AND MY SECOND HALF OF FY27</t>
  </si>
  <si>
    <t xml:space="preserve">US$ billion unless stated</t>
  </si>
  <si>
    <t xml:space="preserve">Q1 FY25</t>
  </si>
  <si>
    <t xml:space="preserve">Q2 FY25</t>
  </si>
  <si>
    <t xml:space="preserve">Q3 FY25</t>
  </si>
  <si>
    <t xml:space="preserve">Q4 FY25</t>
  </si>
  <si>
    <t xml:space="preserve">Q1 FY26</t>
  </si>
  <si>
    <t xml:space="preserve">Q2 FY26</t>
  </si>
  <si>
    <t xml:space="preserve">Q3 FY26</t>
  </si>
  <si>
    <t xml:space="preserve">Q4 FY26</t>
  </si>
  <si>
    <t xml:space="preserve">Q1 FY27</t>
  </si>
  <si>
    <t xml:space="preserve">Q2 FY27</t>
  </si>
  <si>
    <t xml:space="preserve">Q3 FY27E</t>
  </si>
  <si>
    <t xml:space="preserve">Q4 FY27E</t>
  </si>
  <si>
    <t xml:space="preserve">Revenue</t>
  </si>
  <si>
    <t xml:space="preserve">Data centre revenue</t>
  </si>
  <si>
    <t xml:space="preserve">Data centre share of revenue</t>
  </si>
  <si>
    <t xml:space="preserve">Data centre growth on a year earlier</t>
  </si>
  <si>
    <t xml:space="preserve">Gross margin, non-GAAP</t>
  </si>
  <si>
    <t xml:space="preserve">Operating expenses, non-GAAP</t>
  </si>
  <si>
    <t xml:space="preserve">Operating income, non-GAAP</t>
  </si>
  <si>
    <t xml:space="preserve">Operating margin, non-GAAP</t>
  </si>
  <si>
    <t xml:space="preserve">Net profit, non-GAAP</t>
  </si>
  <si>
    <t xml:space="preserve">Diluted shares, bn</t>
  </si>
  <si>
    <t xml:space="preserve">Diluted EPS, US$ (reported; second half of FY27 mine)</t>
  </si>
  <si>
    <t xml:space="preserve">Checks</t>
  </si>
  <si>
    <t xml:space="preserve">Trailing four quarters EPS to Q2 FY27</t>
  </si>
  <si>
    <t xml:space="preserve">Data centre growth, Q2 FY27 on Q2 FY26</t>
  </si>
  <si>
    <t xml:space="preserve">Data centre share, Q2 FY27</t>
  </si>
  <si>
    <t xml:space="preserve">Data centre share, Q4 FY26</t>
  </si>
  <si>
    <t xml:space="preserve">Q3 FY27E EPS against the guide (low / high)</t>
  </si>
  <si>
    <t xml:space="preserve">Q4 FY27E operating margin</t>
  </si>
  <si>
    <t xml:space="preserve">Non-GAAP gross margin, Q1 FY25 to Q2 FY27, change in points</t>
  </si>
  <si>
    <t xml:space="preserve">Source: Marvell results releases (Exhibit 99.1 to Form 8-K), 3 December 2024 to 27 August 2026, with comparatives.</t>
  </si>
  <si>
    <t xml:space="preserve">Operating income to Q4 FY26 is revenue x reported non-GAAP operating margin; Q1 and Q2 FY27 are as reported (US$846.9m and US$1,003.2m).</t>
  </si>
  <si>
    <t xml:space="preserve">Q3 FY27E uses the guide's midpoints; Q4 FY27E is what the US$12bn outlook and the US$2.55bn opex outlook leave. Both are my estimates.</t>
  </si>
  <si>
    <t xml:space="preserve">FINANCIAL SUMMARY AND FORECASTS (US$ billion unless stated, non-GAAP basis)</t>
  </si>
  <si>
    <t xml:space="preserve">FY24A</t>
  </si>
  <si>
    <t xml:space="preserve">FY25A</t>
  </si>
  <si>
    <t xml:space="preserve">FY26A</t>
  </si>
  <si>
    <t xml:space="preserve">FY27E*</t>
  </si>
  <si>
    <t xml:space="preserve">FY28E*</t>
  </si>
  <si>
    <t xml:space="preserve">FY29E*</t>
  </si>
  <si>
    <t xml:space="preserve">Revenue growth</t>
  </si>
  <si>
    <t xml:space="preserve">Operating income</t>
  </si>
  <si>
    <t xml:space="preserve">Operating margin</t>
  </si>
  <si>
    <t xml:space="preserve">Interest and other</t>
  </si>
  <si>
    <t xml:space="preserve">Tax rate</t>
  </si>
  <si>
    <t xml:space="preserve">Net profit</t>
  </si>
  <si>
    <t xml:space="preserve">Diluted EPS, US$</t>
  </si>
  <si>
    <t xml:space="preserve">EPS growth</t>
  </si>
  <si>
    <t xml:space="preserve">P/E at reference price</t>
  </si>
  <si>
    <t xml:space="preserve">Consensus EPS, US$</t>
  </si>
  <si>
    <t xml:space="preserve">Mine against consensus</t>
  </si>
  <si>
    <t xml:space="preserve">P/E on consensus</t>
  </si>
  <si>
    <t xml:space="preserve">*FY27E, FY28E and FY29E are my own estimates. FY27E sums the Quarterly tab. FY28E takes management's US$20bn Investor Day outlook. FY29E is the base case on the Scenarios tab (row 6).</t>
  </si>
  <si>
    <t xml:space="preserve">FY24A to FY26A as reported. FY24 to FY26 operating income is revenue x reported non-GAAP operating margin. FY27E diluted shares is implied (net profit / EPS).</t>
  </si>
  <si>
    <t xml:space="preserve">Consensus from stockanalysis.com: FY27 updated 7 October 2026; FY28 S&amp;P Global data of 2 October 2026, before the Investor Day.</t>
  </si>
  <si>
    <t xml:space="preserve">Note check: FY27E revenue 12.00, EPS 4.18; FY28E EPS 7.54; FY29E revenue 28.00, EPS 10.78.</t>
  </si>
  <si>
    <t xml:space="preserve">DATA CENTRE BY BUSINESS: WHAT IS DISCLOSED, AND MY SPLIT</t>
  </si>
  <si>
    <t xml:space="preserve">US$ billion</t>
  </si>
  <si>
    <t xml:space="preserve">FY26</t>
  </si>
  <si>
    <t xml:space="preserve">Basis</t>
  </si>
  <si>
    <t xml:space="preserve">FY26 reported. FY27E and FY28E: total less my communications and other.</t>
  </si>
  <si>
    <t xml:space="preserve">Custom (XPU and XPU attach)</t>
  </si>
  <si>
    <t xml:space="preserve">FY26 disclosed on the Q4 FY26 call; later years mine.</t>
  </si>
  <si>
    <t xml:space="preserve">Data centre switching</t>
  </si>
  <si>
    <t xml:space="preserve">FY26 disclosed as above US$300m; later years mine.</t>
  </si>
  <si>
    <t xml:space="preserve">Interconnect, storage and other (derived)</t>
  </si>
  <si>
    <t xml:space="preserve">Remainder. Interconnect is the largest part (Q1 FY27 call).</t>
  </si>
  <si>
    <t xml:space="preserve">Data centre growth</t>
  </si>
  <si>
    <t xml:space="preserve">Management: about 60% in FY27 (27 Aug); about US$18bn in FY28 (Investor Day). FY27E here is total less my communications estimate.</t>
  </si>
  <si>
    <t xml:space="preserve">Growth of the remainder</t>
  </si>
  <si>
    <t xml:space="preserve">Management: interconnect more than 70% in FY27.</t>
  </si>
  <si>
    <t xml:space="preserve">Custom share of data centre growth</t>
  </si>
  <si>
    <t xml:space="preserve">The claim's test: how much growth comes from custom.</t>
  </si>
  <si>
    <t xml:space="preserve">Remainder share of data centre growth</t>
  </si>
  <si>
    <t xml:space="preserve">Custom share of data centre revenue</t>
  </si>
  <si>
    <t xml:space="preserve">*Marvell does not report interconnect revenue in dollars. The split is my own, built on the disclosed FY26 custom and switching figures and the growth rates management gave.</t>
  </si>
  <si>
    <t xml:space="preserve">THREE CASES, TWELVE MONTHS OUT (VALUED ON FY29E)</t>
  </si>
  <si>
    <t xml:space="preserve">Case</t>
  </si>
  <si>
    <t xml:space="preserve">Growth FY29</t>
  </si>
  <si>
    <t xml:space="preserve">Op. margin FY29</t>
  </si>
  <si>
    <t xml:space="preserve">FY29 revenue</t>
  </si>
  <si>
    <t xml:space="preserve">FY29 op. income</t>
  </si>
  <si>
    <t xml:space="preserve">FY29 net profit</t>
  </si>
  <si>
    <t xml:space="preserve">FY29 EPS</t>
  </si>
  <si>
    <t xml:space="preserve">Multiple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</si>
  <si>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</si>
  <si>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</si>
  <si>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</si>
  <si>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</si>
  <si>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</si>
  <si>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</si>
  <si>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</si>
  <si>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All cases start from FY28E revenue (management's US$20bn Investor Day outlook, Financials tab) and use FY29 diluted shares.</t>
  </si>
  <si>
    <t xml:space="preserve">Bear: AI spending pauses and FY29 does not grow. Bull: custom (including the Google programmes) and scale-up optics arrive early.</t>
  </si>
  <si>
    <t xml:space="preserve">The base row (6) drives the Financials tab for FY29E.</t>
  </si>
  <si>
    <t xml:space="preserve">VALUATION: 33x FY29E EPS, TWELVE MONTHS OUT</t>
  </si>
  <si>
    <t xml:space="preserve">Line</t>
  </si>
  <si>
    <t xml:space="preserve">Working / note</t>
  </si>
  <si>
    <t xml:space="preserve">FY29E diluted EPS, US$</t>
  </si>
  <si>
    <t xml:space="preserve">By October 2027 the market will be pricing FY29 (year to about January 2029).</t>
  </si>
  <si>
    <t xml:space="preserve">Base multiple, x</t>
  </si>
  <si>
    <t xml:space="preserve">Assumptions tab.</t>
  </si>
  <si>
    <t xml:space="preserve">Base-case value per share, US$</t>
  </si>
  <si>
    <t xml:space="preserve">EPS x multiple.</t>
  </si>
  <si>
    <t xml:space="preserve">Scenarios tab.</t>
  </si>
  <si>
    <t xml:space="preserve">Rule on value alone (long at 15% above, short at 25% below)</t>
  </si>
  <si>
    <t xml:space="preserve">Mechanical only; wider on the short side because a short's losses are open-ended.</t>
  </si>
  <si>
    <t xml:space="preserve">CALL</t>
  </si>
  <si>
    <t xml:space="preserve">LONG</t>
  </si>
  <si>
    <t xml:space="preserve">Tommy Lau's call, 8 October 2026; target US$355, medium conviction.</t>
  </si>
  <si>
    <t xml:space="preserve">Market value on common shares, US$bn</t>
  </si>
  <si>
    <t xml:space="preserve">Market value with the preferred as converted, US$bn</t>
  </si>
  <si>
    <t xml:space="preserve">Net debt, US$bn</t>
  </si>
  <si>
    <t xml:space="preserve">1 August 2026.</t>
  </si>
  <si>
    <t xml:space="preserve">Enterprise value, US$bn</t>
  </si>
  <si>
    <t xml:space="preserve">Change since the lowest close (4 Feb 2026)</t>
  </si>
  <si>
    <t xml:space="preserve">Change since 31 Dec 2025</t>
  </si>
  <si>
    <t xml:space="preserve">Change since the last close before the journal piece (25 Sep 2026)</t>
  </si>
  <si>
    <t xml:space="preserve">Against the highest close (4 Jun 2026)</t>
  </si>
  <si>
    <t xml:space="preserve">P/E on FY26 EPS</t>
  </si>
  <si>
    <t xml:space="preserve">P/E on my FY27E</t>
  </si>
  <si>
    <t xml:space="preserve">P/E on my FY28E</t>
  </si>
  <si>
    <t xml:space="preserve">P/E on my FY29E</t>
  </si>
  <si>
    <t xml:space="preserve">P/E on FY27 consensus</t>
  </si>
  <si>
    <t xml:space="preserve">stockanalysis.com.</t>
  </si>
  <si>
    <t xml:space="preserve">P/E on FY28 consensus</t>
  </si>
  <si>
    <t xml:space="preserve">FY29 EPS the price needs at the base multiple, US$</t>
  </si>
  <si>
    <t xml:space="preserve">What the market prices in.</t>
  </si>
  <si>
    <t xml:space="preserve">FY29 operating income that needs, US$bn</t>
  </si>
  <si>
    <t xml:space="preserve">FY29 revenue that needs at the base margin, US$bn</t>
  </si>
  <si>
    <t xml:space="preserve">Against my base FY29E.</t>
  </si>
  <si>
    <t xml:space="preserve">That as growth on FY28E (US$20bn)</t>
  </si>
  <si>
    <t xml:space="preserve">Price that puts the base case 15% above (revisit as long)</t>
  </si>
  <si>
    <t xml:space="preserve">Price that puts the base case 25% below (revisit as short)</t>
  </si>
  <si>
    <t xml:space="preserve">FY29 EPS that would put the base 15% above today's price</t>
  </si>
  <si>
    <t xml:space="preserve">FY29 EPS that would put the base 25% below today's price</t>
  </si>
  <si>
    <t xml:space="preserve">Nvidia preferred at the price, US$bn</t>
  </si>
  <si>
    <t xml:space="preserve">Nvidia preferred against the US$2.0bn paid</t>
  </si>
  <si>
    <t xml:space="preserve">Google warrant, net shares if fully vested at the price (treasury method), bn</t>
  </si>
  <si>
    <t xml:space="preserve">Google custom revenue that vests the whole warrant, US$bn</t>
  </si>
  <si>
    <t xml:space="preserve">240 tranches of US$500m, Q3 FY27 to the end of FY2033.</t>
  </si>
  <si>
    <t xml:space="preserve">Stock-based pay, Q2 FY27, against revenue</t>
  </si>
  <si>
    <t xml:space="preserve">Stock-based pay, Q2 FY27 against Q2 FY26</t>
  </si>
  <si>
    <t xml:space="preserve">VALUE PER SHARE: FY29E EPS AGAINST MULTIPLE (US$)</t>
  </si>
  <si>
    <t xml:space="preserve">FY29 EPS \ multiple</t>
  </si>
  <si>
    <t xml:space="preserve">Cells above the reference price</t>
  </si>
  <si>
    <t xml:space="preserve">of 9</t>
  </si>
  <si>
    <t xml:space="preserve">Cells more than 15% above the price</t>
  </si>
  <si>
    <t xml:space="preserve">Middle row links to the model's FY29E EPS and the middle column to the base multiple.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</si>
  <si>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</si>
  <si>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</si>
  <si>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</si>
  <si>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</si>
  <si>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</si>
  <si>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Marvell</t>
  </si>
  <si>
    <t xml:space="preserve">Nasdaq: MRVL</t>
  </si>
  <si>
    <t xml:space="preserve">Optical DSPs, TIAs and drivers, DCI modules, Ethernet switch chips, custom AI chips</t>
  </si>
  <si>
    <t xml:space="preserve">Astera Labs</t>
  </si>
  <si>
    <t xml:space="preserve">Nasdaq: ALAB</t>
  </si>
  <si>
    <t xml:space="preserve">Retimers, PCIe and scale-up switches, smart cable modules</t>
  </si>
  <si>
    <t xml:space="preserve">Lumentum</t>
  </si>
  <si>
    <t xml:space="preserve">Nasdaq: LITE</t>
  </si>
  <si>
    <t xml:space="preserve">Indium phosphide lasers, transceivers, optical circuit switches</t>
  </si>
  <si>
    <t xml:space="preserve">Coherent</t>
  </si>
  <si>
    <t xml:space="preserve">NYSE: COHR</t>
  </si>
  <si>
    <t xml:space="preserve">Lasers, optical transceivers, materials</t>
  </si>
  <si>
    <t xml:space="preserve">Credo</t>
  </si>
  <si>
    <t xml:space="preserve">Nasdaq: CRDO</t>
  </si>
  <si>
    <t xml:space="preserve">Active electrical cables, SerDes and optical DSPs</t>
  </si>
  <si>
    <t xml:space="preserve">Broadcom</t>
  </si>
  <si>
    <t xml:space="preserve">Nasdaq: AVGO</t>
  </si>
  <si>
    <t xml:space="preserve">Switch chips, optical DSPs, custom AI chips</t>
  </si>
  <si>
    <t xml:space="preserve">Nvidia</t>
  </si>
  <si>
    <t xml:space="preserve">Nasdaq: NVDA</t>
  </si>
  <si>
    <t xml:space="preserve">GPUs, NVLink, InfiniBand and Ethernet networking</t>
  </si>
  <si>
    <t xml:space="preserve">Median, six peers (excluding Marvell)</t>
  </si>
  <si>
    <t xml:space="preserve">Forward P/E as shown on stockanalysis.com during US trading on 6 October 2026 (Marvell at the 7 October close). Multiples only, to set the base multiple.</t>
  </si>
  <si>
    <t xml:space="preserve">No view on the peers' shares is expressed.</t>
  </si>
  <si>
    <t xml:space="preserve">SOURCES</t>
  </si>
  <si>
    <t xml:space="preserve">No.</t>
  </si>
  <si>
    <t xml:space="preserve">Source and what it supports</t>
  </si>
  <si>
    <t xml:space="preserve">Marvell results releases (Exhibit 99.1 to Form 8-K), 3 December 2024 to 27 August 2026, with comparatives: revenue, data centre revenue, non-GAAP gross and operating margin, EPS, diluted shares, stock-based pay, balance sheet, Q3 FY27 guide.</t>
  </si>
  <si>
    <t xml:space="preserve">Marvell Form 10-Q for the quarter to 1 August 2026 (filed 28 August 2026): shares outstanding (876.9m, 21 August 2026), Celestial AI consideration and contingent consideration (up to 22.4m shares and about US$233m cash), prepayments on supply capacity reservation agreements (US$487.0m against US$278.8m), capacity reservation arrangements, customer and distributor shares.</t>
  </si>
  <si>
    <t xml:space="preserve">Marvell Form 10-K for fiscal 2026 (filed 11 March 2026) and fiscal 2025 (filed 12 March 2025): ten largest customers 82% and 81% of revenue; purchase commitments with foundries and test and assembly partners.</t>
  </si>
  <si>
    <t xml:space="preserve">Marvell Form 8-K of 31 March 2026: US$2.0bn Series A convertible preferred to Nvidia, convertible into up to 21,778,000 shares at about US$91.84. Form 8-K of 19 August 2026: Google warrant, 58,970,907 shares at US$206.58.</t>
  </si>
  <si>
    <t xml:space="preserve">Marvell earnings calls: Q4 FY26 (5 March 2026; custom US$1.5bn, switching above US$300m, Celestial run rates), Q1 FY27 (27 May 2026; interconnect above 70% growth, US$1bn prepayments), Q2 FY27 (27 August 2026; US$12bn and US$18bn outlooks, opex, tax, pluggable modules, Investor Day). Transcripts from stockanalysis.com.</t>
  </si>
  <si>
    <t xml:space="preserve">Marvell Investor Day presentation, 6 October 2026 (investor.marvell.com): FY28 outlook about US$20bn (slide 33), data centre about US$18bn in FY28 (slide 36), FY29 custom US$12bn+ (slide 28), FY31 revenue US$70bn to 90bn and its split (slides 38 to 40), FY31 target model: gross margin 56 to 59%, operating margin 44 to 46%, tax 15%, FCF above 36%, EPS above US$30 (slide 142). Not filed on Form 8-K by 8 October 2026.</t>
  </si>
  <si>
    <t xml:space="preserve">Nasdaq.com historical prices, retrieved 6 October 2026: daily and month-end closes to 5 October, 52-week range. Closes for 6 and 7 October from stockanalysis.com, retrieved 8 October 2026.</t>
  </si>
  <si>
    <t xml:space="preserve">stockanalysis.com: FY27 consensus EPS and average target (updated 7 October 2026), FY28 consensus EPS (S&amp;P Global, updated 2 October 2026, before the Investor Day), forward P/E for the peers (6 October) and Marvell (7 October close).</t>
  </si>
  <si>
    <t xml:space="preserve">The Physical Layer, 'Marvell is paid every time AI chips talk to each other, whoever made the chips', 28 September 2026: https://thephysicallayer.fyi/journal/marvell-collects-the-toll/</t>
  </si>
  <si>
    <t xml:space="preserve">Estimates for FY27 to FY29 and the data centre split are the author's own. Personal research, not investment advice. I hold no position in Marvell.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</si>
</sst>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&quot;US$&quot;#,##0.00"/>
    <numFmt numFmtId="166" formatCode="0.0%"/>
    <numFmt numFmtId="167" formatCode="#,##0.00"/>
    <numFmt numFmtId="168" formatCode="#,##0.0000"/>
    <numFmt numFmtId="169" formatCode="#,##0.000"/>
    <numFmt numFmtId="170" formatCode="0"/>
    <numFmt numFmtId="171" formatCode="0\x"/>
    <numFmt numFmtId="172" formatCode="#,##0.0"/>
    <numFmt numFmtId="173" formatCode="0.0\x"/>
    <numFmt numFmtId="174" formatCode="0%"/>
    <numFmt numFmtId="175" formatCode="0.00\x"/>
    <numFmt numFmtId="176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Valuation!$B$12</f>
        <v>LONG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Assumptions!$B$7</f>
        <v>284.68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Valuation!$B$7</f>
        <v>355.697872340426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Valuation!$B$9</f>
        <v>0.249465618731297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Valuation!$B$10</f>
        <v>345.172340425532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6" t="str">
        <f aca="false">TEXT(Financials!E16,"0.00")&amp;" / "&amp;TEXT(Financials!F16,"0.00")&amp;" / "&amp;TEXT(Financials!G16,"0.00")</f>
        <v>4.18 / 7.54 / 10.78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23.85" hidden="false" customHeight="false" outlineLevel="0" collapsed="false">
      <c r="A13" s="5" t="s">
        <v>21</v>
      </c>
      <c r="B13" s="8" t="s">
        <v>22</v>
      </c>
      <c r="C13" s="7" t="s">
        <v>23</v>
      </c>
    </row>
    <row r="14" customFormat="false" ht="23.85" hidden="false" customHeight="fals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8" customFormat="false" ht="15" hidden="false" customHeight="false" outlineLevel="0" collapsed="false">
      <c r="A28" s="12" t="s">
        <v>45</v>
      </c>
    </row>
    <row r="29" customFormat="false" ht="15" hidden="false" customHeight="false" outlineLevel="0" collapsed="false">
      <c r="A29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48</v>
      </c>
    </row>
    <row r="5" customFormat="false" ht="15" hidden="false" customHeight="false" outlineLevel="0" collapsed="false">
      <c r="A5" s="3" t="s">
        <v>49</v>
      </c>
      <c r="B5" s="4" t="s">
        <v>3</v>
      </c>
      <c r="C5" s="4" t="s">
        <v>50</v>
      </c>
      <c r="D5" s="4" t="s">
        <v>51</v>
      </c>
    </row>
    <row r="6" customFormat="false" ht="15" hidden="false" customHeight="false" outlineLevel="0" collapsed="false">
      <c r="A6" s="11" t="s">
        <v>52</v>
      </c>
    </row>
    <row r="7" customFormat="false" ht="15" hidden="false" customHeight="false" outlineLevel="0" collapsed="false">
      <c r="A7" s="0" t="s">
        <v>53</v>
      </c>
      <c r="B7" s="13" t="n">
        <v>284.68</v>
      </c>
      <c r="C7" s="0" t="s">
        <v>54</v>
      </c>
      <c r="D7" s="7" t="s">
        <v>55</v>
      </c>
    </row>
    <row r="8" customFormat="false" ht="15" hidden="false" customHeight="false" outlineLevel="0" collapsed="false">
      <c r="A8" s="0" t="s">
        <v>56</v>
      </c>
      <c r="B8" s="13" t="n">
        <v>329.88</v>
      </c>
      <c r="C8" s="0" t="s">
        <v>54</v>
      </c>
      <c r="D8" s="7" t="s">
        <v>57</v>
      </c>
    </row>
    <row r="9" customFormat="false" ht="15" hidden="false" customHeight="false" outlineLevel="0" collapsed="false">
      <c r="A9" s="0" t="s">
        <v>58</v>
      </c>
      <c r="B9" s="13" t="n">
        <v>316.43</v>
      </c>
      <c r="C9" s="0" t="s">
        <v>54</v>
      </c>
      <c r="D9" s="7" t="s">
        <v>57</v>
      </c>
    </row>
    <row r="10" customFormat="false" ht="15" hidden="false" customHeight="false" outlineLevel="0" collapsed="false">
      <c r="A10" s="0" t="s">
        <v>59</v>
      </c>
      <c r="B10" s="13" t="n">
        <v>70.69</v>
      </c>
      <c r="C10" s="0" t="s">
        <v>54</v>
      </c>
      <c r="D10" s="7" t="s">
        <v>60</v>
      </c>
    </row>
    <row r="11" customFormat="false" ht="15" hidden="false" customHeight="false" outlineLevel="0" collapsed="false">
      <c r="A11" s="0" t="s">
        <v>61</v>
      </c>
      <c r="B11" s="13" t="n">
        <v>73.73</v>
      </c>
      <c r="C11" s="0" t="s">
        <v>54</v>
      </c>
      <c r="D11" s="7" t="s">
        <v>57</v>
      </c>
    </row>
    <row r="12" customFormat="false" ht="15" hidden="false" customHeight="false" outlineLevel="0" collapsed="false">
      <c r="A12" s="0" t="s">
        <v>62</v>
      </c>
      <c r="B12" s="13" t="n">
        <v>84.98</v>
      </c>
      <c r="C12" s="0" t="s">
        <v>54</v>
      </c>
      <c r="D12" s="7" t="s">
        <v>57</v>
      </c>
    </row>
    <row r="13" customFormat="false" ht="15" hidden="false" customHeight="false" outlineLevel="0" collapsed="false">
      <c r="A13" s="0" t="s">
        <v>63</v>
      </c>
      <c r="B13" s="13" t="n">
        <v>261.94</v>
      </c>
      <c r="C13" s="0" t="s">
        <v>54</v>
      </c>
      <c r="D13" s="7" t="s">
        <v>64</v>
      </c>
    </row>
    <row r="14" customFormat="false" ht="15" hidden="false" customHeight="false" outlineLevel="0" collapsed="false">
      <c r="A14" s="0" t="s">
        <v>65</v>
      </c>
      <c r="B14" s="14" t="n">
        <v>0.8769</v>
      </c>
      <c r="C14" s="0" t="s">
        <v>66</v>
      </c>
      <c r="D14" s="7" t="s">
        <v>67</v>
      </c>
    </row>
    <row r="15" customFormat="false" ht="15" hidden="false" customHeight="false" outlineLevel="0" collapsed="false">
      <c r="A15" s="0" t="s">
        <v>68</v>
      </c>
      <c r="B15" s="14" t="n">
        <v>0.021778</v>
      </c>
      <c r="C15" s="0" t="s">
        <v>66</v>
      </c>
      <c r="D15" s="7" t="s">
        <v>69</v>
      </c>
    </row>
    <row r="16" customFormat="false" ht="15" hidden="false" customHeight="false" outlineLevel="0" collapsed="false">
      <c r="A16" s="0" t="s">
        <v>70</v>
      </c>
      <c r="B16" s="13" t="n">
        <v>91.8355</v>
      </c>
      <c r="C16" s="0" t="s">
        <v>54</v>
      </c>
      <c r="D16" s="7" t="s">
        <v>71</v>
      </c>
    </row>
    <row r="17" customFormat="false" ht="15" hidden="false" customHeight="false" outlineLevel="0" collapsed="false">
      <c r="A17" s="0" t="s">
        <v>72</v>
      </c>
      <c r="B17" s="15" t="n">
        <v>3.9328</v>
      </c>
      <c r="C17" s="0" t="s">
        <v>73</v>
      </c>
      <c r="D17" s="7" t="s">
        <v>74</v>
      </c>
    </row>
    <row r="18" customFormat="false" ht="15" hidden="false" customHeight="false" outlineLevel="0" collapsed="false">
      <c r="A18" s="0" t="s">
        <v>75</v>
      </c>
      <c r="B18" s="15" t="n">
        <v>4.9629</v>
      </c>
      <c r="C18" s="0" t="s">
        <v>73</v>
      </c>
      <c r="D18" s="7" t="s">
        <v>76</v>
      </c>
    </row>
    <row r="19" customFormat="false" ht="15" hidden="false" customHeight="false" outlineLevel="0" collapsed="false">
      <c r="A19" s="0" t="s">
        <v>77</v>
      </c>
      <c r="B19" s="14" t="n">
        <v>0.058970907</v>
      </c>
      <c r="C19" s="0" t="s">
        <v>66</v>
      </c>
      <c r="D19" s="7" t="s">
        <v>78</v>
      </c>
    </row>
    <row r="20" customFormat="false" ht="15" hidden="false" customHeight="false" outlineLevel="0" collapsed="false">
      <c r="A20" s="0" t="s">
        <v>79</v>
      </c>
      <c r="B20" s="13" t="n">
        <v>206.58</v>
      </c>
      <c r="C20" s="0" t="s">
        <v>54</v>
      </c>
      <c r="D20" s="7" t="s">
        <v>80</v>
      </c>
    </row>
    <row r="21" customFormat="false" ht="15" hidden="false" customHeight="false" outlineLevel="0" collapsed="false">
      <c r="A21" s="0" t="s">
        <v>81</v>
      </c>
      <c r="B21" s="15" t="n">
        <v>0.5</v>
      </c>
      <c r="C21" s="0" t="s">
        <v>73</v>
      </c>
      <c r="D21" s="7" t="s">
        <v>82</v>
      </c>
    </row>
    <row r="22" customFormat="false" ht="15" hidden="false" customHeight="false" outlineLevel="0" collapsed="false">
      <c r="A22" s="0" t="s">
        <v>83</v>
      </c>
      <c r="B22" s="16" t="n">
        <v>240</v>
      </c>
      <c r="C22" s="0" t="s">
        <v>84</v>
      </c>
      <c r="D22" s="7" t="s">
        <v>80</v>
      </c>
    </row>
    <row r="23" customFormat="false" ht="15" hidden="false" customHeight="false" outlineLevel="0" collapsed="false">
      <c r="A23" s="0" t="s">
        <v>85</v>
      </c>
      <c r="B23" s="13" t="n">
        <v>4.22</v>
      </c>
      <c r="C23" s="0" t="s">
        <v>54</v>
      </c>
      <c r="D23" s="7" t="s">
        <v>86</v>
      </c>
    </row>
    <row r="24" customFormat="false" ht="15" hidden="false" customHeight="false" outlineLevel="0" collapsed="false">
      <c r="A24" s="0" t="s">
        <v>87</v>
      </c>
      <c r="B24" s="13" t="n">
        <v>6.75</v>
      </c>
      <c r="C24" s="0" t="s">
        <v>54</v>
      </c>
      <c r="D24" s="7" t="s">
        <v>88</v>
      </c>
    </row>
    <row r="25" customFormat="false" ht="15" hidden="false" customHeight="false" outlineLevel="0" collapsed="false">
      <c r="A25" s="0" t="s">
        <v>89</v>
      </c>
      <c r="B25" s="13" t="n">
        <v>335.83</v>
      </c>
      <c r="C25" s="0" t="s">
        <v>54</v>
      </c>
      <c r="D25" s="7" t="s">
        <v>90</v>
      </c>
    </row>
    <row r="26" customFormat="false" ht="15" hidden="false" customHeight="false" outlineLevel="0" collapsed="false">
      <c r="A26" s="0" t="s">
        <v>91</v>
      </c>
      <c r="B26" s="17" t="n">
        <v>50.43</v>
      </c>
      <c r="C26" s="0" t="s">
        <v>92</v>
      </c>
      <c r="D26" s="7" t="s">
        <v>93</v>
      </c>
    </row>
    <row r="27" customFormat="false" ht="15" hidden="false" customHeight="false" outlineLevel="0" collapsed="false">
      <c r="A27" s="11" t="s">
        <v>94</v>
      </c>
    </row>
    <row r="28" customFormat="false" ht="15" hidden="false" customHeight="false" outlineLevel="0" collapsed="false">
      <c r="A28" s="0" t="s">
        <v>95</v>
      </c>
      <c r="B28" s="15" t="n">
        <v>3.15</v>
      </c>
      <c r="C28" s="0" t="s">
        <v>73</v>
      </c>
      <c r="D28" s="7" t="s">
        <v>96</v>
      </c>
    </row>
    <row r="29" customFormat="false" ht="15" hidden="false" customHeight="false" outlineLevel="0" collapsed="false">
      <c r="A29" s="0" t="s">
        <v>97</v>
      </c>
      <c r="B29" s="18" t="n">
        <v>0.575</v>
      </c>
      <c r="C29" s="0" t="s">
        <v>98</v>
      </c>
      <c r="D29" s="7" t="s">
        <v>80</v>
      </c>
    </row>
    <row r="30" customFormat="false" ht="15" hidden="false" customHeight="false" outlineLevel="0" collapsed="false">
      <c r="A30" s="0" t="s">
        <v>99</v>
      </c>
      <c r="B30" s="18" t="n">
        <v>0.585</v>
      </c>
      <c r="C30" s="0" t="s">
        <v>98</v>
      </c>
      <c r="D30" s="7" t="s">
        <v>80</v>
      </c>
    </row>
    <row r="31" customFormat="false" ht="15" hidden="false" customHeight="false" outlineLevel="0" collapsed="false">
      <c r="A31" s="0" t="s">
        <v>100</v>
      </c>
      <c r="B31" s="15" t="n">
        <v>0.655</v>
      </c>
      <c r="C31" s="0" t="s">
        <v>73</v>
      </c>
      <c r="D31" s="7" t="s">
        <v>101</v>
      </c>
    </row>
    <row r="32" customFormat="false" ht="15" hidden="false" customHeight="false" outlineLevel="0" collapsed="false">
      <c r="A32" s="0" t="s">
        <v>102</v>
      </c>
      <c r="B32" s="15" t="n">
        <v>-0.036</v>
      </c>
      <c r="C32" s="0" t="s">
        <v>73</v>
      </c>
      <c r="D32" s="7" t="s">
        <v>103</v>
      </c>
    </row>
    <row r="33" customFormat="false" ht="15" hidden="false" customHeight="false" outlineLevel="0" collapsed="false">
      <c r="A33" s="0" t="s">
        <v>104</v>
      </c>
      <c r="B33" s="18" t="n">
        <v>0.11</v>
      </c>
      <c r="C33" s="0" t="s">
        <v>98</v>
      </c>
      <c r="D33" s="7" t="s">
        <v>105</v>
      </c>
    </row>
    <row r="34" customFormat="false" ht="15" hidden="false" customHeight="false" outlineLevel="0" collapsed="false">
      <c r="A34" s="0" t="s">
        <v>106</v>
      </c>
      <c r="B34" s="13" t="n">
        <v>1.05</v>
      </c>
      <c r="C34" s="0" t="s">
        <v>54</v>
      </c>
      <c r="D34" s="7" t="s">
        <v>80</v>
      </c>
    </row>
    <row r="35" customFormat="false" ht="15" hidden="false" customHeight="false" outlineLevel="0" collapsed="false">
      <c r="A35" s="0" t="s">
        <v>107</v>
      </c>
      <c r="B35" s="13" t="n">
        <v>1.15</v>
      </c>
      <c r="C35" s="0" t="s">
        <v>54</v>
      </c>
      <c r="D35" s="7" t="s">
        <v>80</v>
      </c>
    </row>
    <row r="36" customFormat="false" ht="15" hidden="false" customHeight="false" outlineLevel="0" collapsed="false">
      <c r="A36" s="0" t="s">
        <v>108</v>
      </c>
      <c r="B36" s="15" t="n">
        <v>12</v>
      </c>
      <c r="C36" s="0" t="s">
        <v>73</v>
      </c>
      <c r="D36" s="7" t="s">
        <v>109</v>
      </c>
    </row>
    <row r="37" customFormat="false" ht="15" hidden="false" customHeight="false" outlineLevel="0" collapsed="false">
      <c r="A37" s="0" t="s">
        <v>110</v>
      </c>
      <c r="B37" s="15" t="n">
        <v>2.55</v>
      </c>
      <c r="C37" s="0" t="s">
        <v>73</v>
      </c>
      <c r="D37" s="7" t="s">
        <v>111</v>
      </c>
    </row>
    <row r="38" customFormat="false" ht="23.85" hidden="false" customHeight="false" outlineLevel="0" collapsed="false">
      <c r="A38" s="0" t="s">
        <v>112</v>
      </c>
      <c r="B38" s="15" t="n">
        <v>20</v>
      </c>
      <c r="C38" s="0" t="s">
        <v>73</v>
      </c>
      <c r="D38" s="7" t="s">
        <v>113</v>
      </c>
    </row>
    <row r="39" customFormat="false" ht="15" hidden="false" customHeight="false" outlineLevel="0" collapsed="false">
      <c r="A39" s="0" t="s">
        <v>114</v>
      </c>
      <c r="B39" s="18" t="n">
        <v>0.13</v>
      </c>
      <c r="C39" s="0" t="s">
        <v>98</v>
      </c>
      <c r="D39" s="7" t="s">
        <v>115</v>
      </c>
    </row>
    <row r="40" customFormat="false" ht="15" hidden="false" customHeight="false" outlineLevel="0" collapsed="false">
      <c r="A40" s="0" t="s">
        <v>116</v>
      </c>
      <c r="B40" s="15" t="n">
        <v>1.5</v>
      </c>
      <c r="C40" s="0" t="s">
        <v>73</v>
      </c>
      <c r="D40" s="7" t="s">
        <v>117</v>
      </c>
    </row>
    <row r="41" customFormat="false" ht="15" hidden="false" customHeight="false" outlineLevel="0" collapsed="false">
      <c r="A41" s="0" t="s">
        <v>118</v>
      </c>
      <c r="B41" s="15" t="n">
        <v>0.3</v>
      </c>
      <c r="C41" s="0" t="s">
        <v>73</v>
      </c>
      <c r="D41" s="7" t="s">
        <v>119</v>
      </c>
    </row>
    <row r="42" customFormat="false" ht="15" hidden="false" customHeight="false" outlineLevel="0" collapsed="false">
      <c r="A42" s="0" t="s">
        <v>120</v>
      </c>
      <c r="B42" s="15" t="n">
        <v>0.3262</v>
      </c>
      <c r="C42" s="0" t="s">
        <v>73</v>
      </c>
      <c r="D42" s="7" t="s">
        <v>121</v>
      </c>
    </row>
    <row r="43" customFormat="false" ht="15" hidden="false" customHeight="false" outlineLevel="0" collapsed="false">
      <c r="A43" s="0" t="s">
        <v>122</v>
      </c>
      <c r="B43" s="15" t="n">
        <v>0.1536</v>
      </c>
      <c r="C43" s="0" t="s">
        <v>73</v>
      </c>
      <c r="D43" s="7" t="s">
        <v>80</v>
      </c>
    </row>
    <row r="44" customFormat="false" ht="15" hidden="false" customHeight="false" outlineLevel="0" collapsed="false">
      <c r="A44" s="11" t="s">
        <v>123</v>
      </c>
    </row>
    <row r="45" customFormat="false" ht="15" hidden="false" customHeight="false" outlineLevel="0" collapsed="false">
      <c r="A45" s="0" t="s">
        <v>124</v>
      </c>
      <c r="B45" s="19" t="n">
        <v>3.693</v>
      </c>
      <c r="C45" s="0" t="s">
        <v>73</v>
      </c>
      <c r="D45" s="7" t="s">
        <v>125</v>
      </c>
    </row>
    <row r="46" customFormat="false" ht="15" hidden="false" customHeight="false" outlineLevel="0" collapsed="false">
      <c r="A46" s="0" t="s">
        <v>126</v>
      </c>
      <c r="B46" s="20" t="n">
        <v>0.58</v>
      </c>
      <c r="C46" s="0" t="s">
        <v>98</v>
      </c>
      <c r="D46" s="7" t="s">
        <v>127</v>
      </c>
    </row>
    <row r="47" customFormat="false" ht="15" hidden="false" customHeight="false" outlineLevel="0" collapsed="false">
      <c r="A47" s="0" t="s">
        <v>128</v>
      </c>
      <c r="B47" s="21" t="n">
        <v>0.921</v>
      </c>
      <c r="C47" s="0" t="s">
        <v>66</v>
      </c>
      <c r="D47" s="7" t="s">
        <v>129</v>
      </c>
    </row>
    <row r="48" customFormat="false" ht="15" hidden="false" customHeight="false" outlineLevel="0" collapsed="false">
      <c r="A48" s="0" t="s">
        <v>130</v>
      </c>
      <c r="B48" s="21" t="n">
        <v>0.925</v>
      </c>
      <c r="C48" s="0" t="s">
        <v>66</v>
      </c>
      <c r="D48" s="7" t="s">
        <v>131</v>
      </c>
    </row>
    <row r="49" customFormat="false" ht="15" hidden="false" customHeight="false" outlineLevel="0" collapsed="false">
      <c r="A49" s="0" t="s">
        <v>132</v>
      </c>
      <c r="B49" s="20" t="n">
        <v>0.58</v>
      </c>
      <c r="C49" s="0" t="s">
        <v>98</v>
      </c>
      <c r="D49" s="7" t="s">
        <v>133</v>
      </c>
    </row>
    <row r="50" customFormat="false" ht="15" hidden="false" customHeight="false" outlineLevel="0" collapsed="false">
      <c r="A50" s="0" t="s">
        <v>134</v>
      </c>
      <c r="B50" s="20" t="n">
        <v>0.5</v>
      </c>
      <c r="C50" s="0" t="s">
        <v>98</v>
      </c>
      <c r="D50" s="7" t="s">
        <v>135</v>
      </c>
    </row>
    <row r="51" customFormat="false" ht="15" hidden="false" customHeight="false" outlineLevel="0" collapsed="false">
      <c r="A51" s="0" t="s">
        <v>136</v>
      </c>
      <c r="B51" s="19" t="n">
        <v>-0.14</v>
      </c>
      <c r="C51" s="0" t="s">
        <v>73</v>
      </c>
      <c r="D51" s="7" t="s">
        <v>131</v>
      </c>
    </row>
    <row r="52" customFormat="false" ht="15" hidden="false" customHeight="false" outlineLevel="0" collapsed="false">
      <c r="A52" s="0" t="s">
        <v>137</v>
      </c>
      <c r="B52" s="21" t="n">
        <v>0.93</v>
      </c>
      <c r="C52" s="0" t="s">
        <v>66</v>
      </c>
      <c r="D52" s="7" t="s">
        <v>138</v>
      </c>
    </row>
    <row r="53" customFormat="false" ht="15" hidden="false" customHeight="false" outlineLevel="0" collapsed="false">
      <c r="A53" s="0" t="s">
        <v>139</v>
      </c>
      <c r="B53" s="19" t="n">
        <v>-0.12</v>
      </c>
      <c r="C53" s="0" t="s">
        <v>73</v>
      </c>
      <c r="D53" s="7" t="s">
        <v>131</v>
      </c>
    </row>
    <row r="54" customFormat="false" ht="15" hidden="false" customHeight="false" outlineLevel="0" collapsed="false">
      <c r="A54" s="0" t="s">
        <v>140</v>
      </c>
      <c r="B54" s="20" t="n">
        <v>0.15</v>
      </c>
      <c r="C54" s="0" t="s">
        <v>98</v>
      </c>
      <c r="D54" s="7" t="s">
        <v>141</v>
      </c>
    </row>
    <row r="55" customFormat="false" ht="15" hidden="false" customHeight="false" outlineLevel="0" collapsed="false">
      <c r="A55" s="0" t="s">
        <v>142</v>
      </c>
      <c r="B55" s="21" t="n">
        <v>0.94</v>
      </c>
      <c r="C55" s="0" t="s">
        <v>66</v>
      </c>
      <c r="D55" s="7" t="s">
        <v>131</v>
      </c>
    </row>
    <row r="56" customFormat="false" ht="15" hidden="false" customHeight="false" outlineLevel="0" collapsed="false">
      <c r="A56" s="0" t="s">
        <v>143</v>
      </c>
      <c r="B56" s="22" t="n">
        <v>33</v>
      </c>
      <c r="C56" s="0" t="s">
        <v>92</v>
      </c>
      <c r="D56" s="7" t="s">
        <v>144</v>
      </c>
    </row>
    <row r="57" customFormat="false" ht="15" hidden="false" customHeight="false" outlineLevel="0" collapsed="false">
      <c r="A57" s="0" t="s">
        <v>145</v>
      </c>
      <c r="B57" s="19" t="n">
        <v>2.25</v>
      </c>
      <c r="C57" s="0" t="s">
        <v>73</v>
      </c>
      <c r="D57" s="7" t="s">
        <v>146</v>
      </c>
    </row>
    <row r="58" customFormat="false" ht="15" hidden="false" customHeight="false" outlineLevel="0" collapsed="false">
      <c r="A58" s="0" t="s">
        <v>147</v>
      </c>
      <c r="B58" s="19" t="n">
        <v>2</v>
      </c>
      <c r="C58" s="0" t="s">
        <v>73</v>
      </c>
      <c r="D58" s="7" t="s">
        <v>148</v>
      </c>
    </row>
    <row r="59" customFormat="false" ht="15" hidden="false" customHeight="false" outlineLevel="0" collapsed="false">
      <c r="A59" s="0" t="s">
        <v>149</v>
      </c>
      <c r="B59" s="19" t="n">
        <v>2</v>
      </c>
      <c r="C59" s="0" t="s">
        <v>73</v>
      </c>
      <c r="D59" s="7" t="s">
        <v>150</v>
      </c>
    </row>
    <row r="60" customFormat="false" ht="15" hidden="false" customHeight="false" outlineLevel="0" collapsed="false">
      <c r="A60" s="0" t="s">
        <v>151</v>
      </c>
      <c r="B60" s="19" t="n">
        <v>0.65</v>
      </c>
      <c r="C60" s="0" t="s">
        <v>73</v>
      </c>
      <c r="D60" s="7" t="s">
        <v>152</v>
      </c>
    </row>
    <row r="61" customFormat="false" ht="15" hidden="false" customHeight="false" outlineLevel="0" collapsed="false">
      <c r="A61" s="0" t="s">
        <v>153</v>
      </c>
      <c r="B61" s="19" t="n">
        <v>3.9</v>
      </c>
      <c r="C61" s="0" t="s">
        <v>73</v>
      </c>
      <c r="D61" s="7" t="s">
        <v>154</v>
      </c>
    </row>
    <row r="62" customFormat="false" ht="15" hidden="false" customHeight="false" outlineLevel="0" collapsed="false">
      <c r="A62" s="0" t="s">
        <v>155</v>
      </c>
      <c r="B62" s="19" t="n">
        <v>1.5</v>
      </c>
      <c r="C62" s="0" t="s">
        <v>73</v>
      </c>
      <c r="D62" s="7" t="s">
        <v>156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13" min="2" style="0" width="10"/>
  </cols>
  <sheetData>
    <row r="1" customFormat="false" ht="15" hidden="false" customHeight="false" outlineLevel="0" collapsed="false">
      <c r="A1" s="1" t="s">
        <v>157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158</v>
      </c>
      <c r="B4" s="4" t="s">
        <v>159</v>
      </c>
      <c r="C4" s="4" t="s">
        <v>160</v>
      </c>
      <c r="D4" s="4" t="s">
        <v>161</v>
      </c>
      <c r="E4" s="4" t="s">
        <v>162</v>
      </c>
      <c r="F4" s="4" t="s">
        <v>163</v>
      </c>
      <c r="G4" s="4" t="s">
        <v>164</v>
      </c>
      <c r="H4" s="4" t="s">
        <v>165</v>
      </c>
      <c r="I4" s="4" t="s">
        <v>166</v>
      </c>
      <c r="J4" s="4" t="s">
        <v>167</v>
      </c>
      <c r="K4" s="4" t="s">
        <v>168</v>
      </c>
      <c r="L4" s="4" t="s">
        <v>169</v>
      </c>
      <c r="M4" s="4" t="s">
        <v>170</v>
      </c>
    </row>
    <row r="5" customFormat="false" ht="15" hidden="false" customHeight="false" outlineLevel="0" collapsed="false">
      <c r="A5" s="5" t="s">
        <v>171</v>
      </c>
      <c r="B5" s="23" t="n">
        <v>1.1609</v>
      </c>
      <c r="C5" s="23" t="n">
        <v>1.2729</v>
      </c>
      <c r="D5" s="23" t="n">
        <v>1.5161</v>
      </c>
      <c r="E5" s="23" t="n">
        <v>1.8174</v>
      </c>
      <c r="F5" s="23" t="n">
        <v>1.8953</v>
      </c>
      <c r="G5" s="23" t="n">
        <v>2.0061</v>
      </c>
      <c r="H5" s="23" t="n">
        <v>2.0745</v>
      </c>
      <c r="I5" s="23" t="n">
        <v>2.2187</v>
      </c>
      <c r="J5" s="23" t="n">
        <v>2.4178</v>
      </c>
      <c r="K5" s="23" t="n">
        <v>2.7393</v>
      </c>
      <c r="L5" s="24" t="n">
        <f aca="false">Assumptions!$B$28</f>
        <v>3.15</v>
      </c>
      <c r="M5" s="24" t="n">
        <f aca="false">Assumptions!$B$45</f>
        <v>3.693</v>
      </c>
    </row>
    <row r="6" customFormat="false" ht="15" hidden="false" customHeight="false" outlineLevel="0" collapsed="false">
      <c r="A6" s="25" t="s">
        <v>172</v>
      </c>
      <c r="B6" s="23" t="n">
        <v>0.8164</v>
      </c>
      <c r="C6" s="23" t="n">
        <v>0.8809</v>
      </c>
      <c r="D6" s="23" t="n">
        <v>1.1011</v>
      </c>
      <c r="E6" s="23" t="n">
        <v>1.3658</v>
      </c>
      <c r="F6" s="23" t="n">
        <v>1.4406</v>
      </c>
      <c r="G6" s="23" t="n">
        <v>1.4905</v>
      </c>
      <c r="H6" s="23" t="n">
        <v>1.5179</v>
      </c>
      <c r="I6" s="23" t="n">
        <v>1.6513</v>
      </c>
      <c r="J6" s="23" t="n">
        <v>1.8327</v>
      </c>
      <c r="K6" s="23" t="n">
        <v>2.1715</v>
      </c>
      <c r="L6" s="26"/>
      <c r="M6" s="26"/>
    </row>
    <row r="7" customFormat="false" ht="15" hidden="false" customHeight="false" outlineLevel="0" collapsed="false">
      <c r="A7" s="25" t="s">
        <v>173</v>
      </c>
      <c r="B7" s="27" t="n">
        <f aca="false">B6/B5</f>
        <v>0.703247480403135</v>
      </c>
      <c r="C7" s="27" t="n">
        <f aca="false">C6/C5</f>
        <v>0.692041794327913</v>
      </c>
      <c r="D7" s="27" t="n">
        <f aca="false">D6/D5</f>
        <v>0.726271354132313</v>
      </c>
      <c r="E7" s="27" t="n">
        <f aca="false">E6/E5</f>
        <v>0.751513150654782</v>
      </c>
      <c r="F7" s="27" t="n">
        <f aca="false">F6/F5</f>
        <v>0.760090750804622</v>
      </c>
      <c r="G7" s="27" t="n">
        <f aca="false">G6/G5</f>
        <v>0.742983899107721</v>
      </c>
      <c r="H7" s="27" t="n">
        <f aca="false">H6/H5</f>
        <v>0.731694384188961</v>
      </c>
      <c r="I7" s="27" t="n">
        <f aca="false">I6/I5</f>
        <v>0.744264659485284</v>
      </c>
      <c r="J7" s="27" t="n">
        <f aca="false">J6/J5</f>
        <v>0.758003143353462</v>
      </c>
      <c r="K7" s="27" t="n">
        <f aca="false">K6/K5</f>
        <v>0.792720768079436</v>
      </c>
      <c r="L7" s="27"/>
      <c r="M7" s="27"/>
    </row>
    <row r="8" customFormat="false" ht="15" hidden="false" customHeight="false" outlineLevel="0" collapsed="false">
      <c r="A8" s="25" t="s">
        <v>174</v>
      </c>
      <c r="B8" s="27"/>
      <c r="C8" s="27"/>
      <c r="D8" s="27"/>
      <c r="E8" s="27"/>
      <c r="F8" s="27" t="n">
        <f aca="false">F6/B6-1</f>
        <v>0.764576188143067</v>
      </c>
      <c r="G8" s="27" t="n">
        <f aca="false">G6/C6-1</f>
        <v>0.692019525485299</v>
      </c>
      <c r="H8" s="27" t="n">
        <f aca="false">H6/D6-1</f>
        <v>0.378530560348742</v>
      </c>
      <c r="I8" s="27" t="n">
        <f aca="false">I6/E6-1</f>
        <v>0.209034997803485</v>
      </c>
      <c r="J8" s="27" t="n">
        <f aca="false">J6/F6-1</f>
        <v>0.272178259058725</v>
      </c>
      <c r="K8" s="27" t="n">
        <f aca="false">K6/G6-1</f>
        <v>0.456893659845689</v>
      </c>
      <c r="L8" s="27"/>
      <c r="M8" s="27"/>
    </row>
    <row r="9" customFormat="false" ht="15" hidden="false" customHeight="false" outlineLevel="0" collapsed="false">
      <c r="A9" s="5" t="s">
        <v>175</v>
      </c>
      <c r="B9" s="28" t="n">
        <v>0.624</v>
      </c>
      <c r="C9" s="28" t="n">
        <v>0.619</v>
      </c>
      <c r="D9" s="28" t="n">
        <v>0.605</v>
      </c>
      <c r="E9" s="28" t="n">
        <v>0.601</v>
      </c>
      <c r="F9" s="28" t="n">
        <v>0.598</v>
      </c>
      <c r="G9" s="28" t="n">
        <v>0.594</v>
      </c>
      <c r="H9" s="28" t="n">
        <v>0.597</v>
      </c>
      <c r="I9" s="28" t="n">
        <v>0.59</v>
      </c>
      <c r="J9" s="28" t="n">
        <v>0.589</v>
      </c>
      <c r="K9" s="28" t="n">
        <v>0.589</v>
      </c>
      <c r="L9" s="10" t="n">
        <f aca="false">Assumptions!$B$46</f>
        <v>0.58</v>
      </c>
      <c r="M9" s="10" t="n">
        <f aca="false">Assumptions!$B$46</f>
        <v>0.58</v>
      </c>
    </row>
    <row r="10" customFormat="false" ht="15" hidden="false" customHeight="false" outlineLevel="0" collapsed="false">
      <c r="A10" s="25" t="s">
        <v>176</v>
      </c>
      <c r="B10" s="29"/>
      <c r="C10" s="29"/>
      <c r="D10" s="29"/>
      <c r="E10" s="29"/>
      <c r="F10" s="29"/>
      <c r="G10" s="29"/>
      <c r="H10" s="29"/>
      <c r="I10" s="29"/>
      <c r="J10" s="30" t="n">
        <v>0.5769</v>
      </c>
      <c r="K10" s="30" t="n">
        <v>0.6108</v>
      </c>
      <c r="L10" s="31" t="n">
        <f aca="false">Assumptions!$B$31</f>
        <v>0.655</v>
      </c>
      <c r="M10" s="31" t="n">
        <f aca="false">Assumptions!$B$37-J10-K10-L10</f>
        <v>0.7073</v>
      </c>
    </row>
    <row r="11" customFormat="false" ht="15" hidden="false" customHeight="false" outlineLevel="0" collapsed="false">
      <c r="A11" s="5" t="s">
        <v>177</v>
      </c>
      <c r="B11" s="29" t="n">
        <f aca="false">B5*B12</f>
        <v>0.2704897</v>
      </c>
      <c r="C11" s="29" t="n">
        <f aca="false">C5*C12</f>
        <v>0.3322269</v>
      </c>
      <c r="D11" s="29" t="n">
        <f aca="false">D5*D12</f>
        <v>0.4502817</v>
      </c>
      <c r="E11" s="29" t="n">
        <f aca="false">E5*E12</f>
        <v>0.6124638</v>
      </c>
      <c r="F11" s="29" t="n">
        <f aca="false">F5*F12</f>
        <v>0.6481926</v>
      </c>
      <c r="G11" s="29" t="n">
        <f aca="false">G5*G12</f>
        <v>0.6981228</v>
      </c>
      <c r="H11" s="29" t="n">
        <f aca="false">H5*H12</f>
        <v>0.7530435</v>
      </c>
      <c r="I11" s="29" t="n">
        <f aca="false">I5*I12</f>
        <v>0.7920759</v>
      </c>
      <c r="J11" s="30" t="n">
        <v>0.8469</v>
      </c>
      <c r="K11" s="30" t="n">
        <v>1.0032</v>
      </c>
      <c r="L11" s="29" t="n">
        <f aca="false">L5*L9-L10</f>
        <v>1.172</v>
      </c>
      <c r="M11" s="29" t="n">
        <f aca="false">M5*M9-M10</f>
        <v>1.43464</v>
      </c>
    </row>
    <row r="12" customFormat="false" ht="15" hidden="false" customHeight="false" outlineLevel="0" collapsed="false">
      <c r="A12" s="25" t="s">
        <v>178</v>
      </c>
      <c r="B12" s="28" t="n">
        <v>0.233</v>
      </c>
      <c r="C12" s="28" t="n">
        <v>0.261</v>
      </c>
      <c r="D12" s="28" t="n">
        <v>0.297</v>
      </c>
      <c r="E12" s="28" t="n">
        <v>0.337</v>
      </c>
      <c r="F12" s="28" t="n">
        <v>0.342</v>
      </c>
      <c r="G12" s="28" t="n">
        <v>0.348</v>
      </c>
      <c r="H12" s="28" t="n">
        <v>0.363</v>
      </c>
      <c r="I12" s="28" t="n">
        <v>0.357</v>
      </c>
      <c r="J12" s="27" t="n">
        <f aca="false">J11/J5</f>
        <v>0.350277111423608</v>
      </c>
      <c r="K12" s="27" t="n">
        <f aca="false">K11/K5</f>
        <v>0.366224947979411</v>
      </c>
      <c r="L12" s="27" t="n">
        <f aca="false">L11/L5</f>
        <v>0.372063492063492</v>
      </c>
      <c r="M12" s="27" t="n">
        <f aca="false">M11/M5</f>
        <v>0.388475494178175</v>
      </c>
    </row>
    <row r="13" customFormat="false" ht="15" hidden="false" customHeight="false" outlineLevel="0" collapsed="false">
      <c r="A13" s="25" t="s">
        <v>179</v>
      </c>
      <c r="B13" s="29"/>
      <c r="C13" s="29"/>
      <c r="D13" s="29"/>
      <c r="E13" s="29"/>
      <c r="F13" s="29"/>
      <c r="G13" s="29"/>
      <c r="H13" s="29"/>
      <c r="I13" s="29"/>
      <c r="J13" s="30" t="n">
        <v>0.718</v>
      </c>
      <c r="K13" s="30" t="n">
        <v>0.8659</v>
      </c>
      <c r="L13" s="29" t="n">
        <f aca="false">(L11+Assumptions!$B$32)*(1-Assumptions!$B$33)</f>
        <v>1.01104</v>
      </c>
      <c r="M13" s="29" t="n">
        <f aca="false">(M11+Assumptions!$B$32)*(1-Assumptions!$B$33)</f>
        <v>1.2447896</v>
      </c>
    </row>
    <row r="14" customFormat="false" ht="15" hidden="false" customHeight="false" outlineLevel="0" collapsed="false">
      <c r="A14" s="25" t="s">
        <v>180</v>
      </c>
      <c r="B14" s="29"/>
      <c r="C14" s="29"/>
      <c r="D14" s="29"/>
      <c r="E14" s="29"/>
      <c r="F14" s="29"/>
      <c r="G14" s="29"/>
      <c r="H14" s="29"/>
      <c r="I14" s="29"/>
      <c r="J14" s="30" t="n">
        <v>0.8933</v>
      </c>
      <c r="K14" s="30" t="n">
        <v>0.9212</v>
      </c>
      <c r="L14" s="31" t="n">
        <f aca="false">Assumptions!$B$47</f>
        <v>0.921</v>
      </c>
      <c r="M14" s="31" t="n">
        <f aca="false">Assumptions!$B$48</f>
        <v>0.925</v>
      </c>
    </row>
    <row r="15" customFormat="false" ht="15" hidden="false" customHeight="false" outlineLevel="0" collapsed="false">
      <c r="A15" s="5" t="s">
        <v>181</v>
      </c>
      <c r="B15" s="32" t="n">
        <v>0.24</v>
      </c>
      <c r="C15" s="32" t="n">
        <v>0.3</v>
      </c>
      <c r="D15" s="32" t="n">
        <v>0.43</v>
      </c>
      <c r="E15" s="32" t="n">
        <v>0.6</v>
      </c>
      <c r="F15" s="32" t="n">
        <v>0.62</v>
      </c>
      <c r="G15" s="32" t="n">
        <v>0.67</v>
      </c>
      <c r="H15" s="32" t="n">
        <v>0.76</v>
      </c>
      <c r="I15" s="32" t="n">
        <v>0.8</v>
      </c>
      <c r="J15" s="32" t="n">
        <v>0.8</v>
      </c>
      <c r="K15" s="32" t="n">
        <v>0.94</v>
      </c>
      <c r="L15" s="33" t="n">
        <f aca="false">L13/L14</f>
        <v>1.09776330076004</v>
      </c>
      <c r="M15" s="33" t="n">
        <f aca="false">M13/M14</f>
        <v>1.34571848648649</v>
      </c>
    </row>
    <row r="17" customFormat="false" ht="15" hidden="false" customHeight="false" outlineLevel="0" collapsed="false">
      <c r="A17" s="11" t="s">
        <v>182</v>
      </c>
    </row>
    <row r="18" customFormat="false" ht="15" hidden="false" customHeight="false" outlineLevel="0" collapsed="false">
      <c r="A18" s="0" t="s">
        <v>183</v>
      </c>
      <c r="B18" s="34" t="n">
        <f aca="false">SUM(H15:K15)</f>
        <v>3.3</v>
      </c>
    </row>
    <row r="19" customFormat="false" ht="15" hidden="false" customHeight="false" outlineLevel="0" collapsed="false">
      <c r="A19" s="0" t="s">
        <v>184</v>
      </c>
      <c r="B19" s="35" t="n">
        <f aca="false">K8</f>
        <v>0.456893659845689</v>
      </c>
    </row>
    <row r="20" customFormat="false" ht="15" hidden="false" customHeight="false" outlineLevel="0" collapsed="false">
      <c r="A20" s="0" t="s">
        <v>185</v>
      </c>
      <c r="B20" s="35" t="n">
        <f aca="false">K7</f>
        <v>0.792720768079436</v>
      </c>
    </row>
    <row r="21" customFormat="false" ht="15" hidden="false" customHeight="false" outlineLevel="0" collapsed="false">
      <c r="A21" s="0" t="s">
        <v>186</v>
      </c>
      <c r="B21" s="35" t="n">
        <f aca="false">I7</f>
        <v>0.744264659485284</v>
      </c>
    </row>
    <row r="22" customFormat="false" ht="15" hidden="false" customHeight="false" outlineLevel="0" collapsed="false">
      <c r="A22" s="0" t="s">
        <v>187</v>
      </c>
      <c r="B22" s="34" t="n">
        <f aca="false">L15</f>
        <v>1.09776330076004</v>
      </c>
      <c r="C22" s="34" t="n">
        <f aca="false">Assumptions!$B$34</f>
        <v>1.05</v>
      </c>
      <c r="D22" s="34" t="n">
        <f aca="false">Assumptions!$B$35</f>
        <v>1.15</v>
      </c>
    </row>
    <row r="23" customFormat="false" ht="15" hidden="false" customHeight="false" outlineLevel="0" collapsed="false">
      <c r="A23" s="0" t="s">
        <v>188</v>
      </c>
      <c r="B23" s="35" t="n">
        <f aca="false">M12</f>
        <v>0.388475494178175</v>
      </c>
    </row>
    <row r="24" customFormat="false" ht="15" hidden="false" customHeight="false" outlineLevel="0" collapsed="false">
      <c r="A24" s="0" t="s">
        <v>189</v>
      </c>
      <c r="B24" s="36" t="n">
        <f aca="false">(K9-B9)*100</f>
        <v>-3.5</v>
      </c>
    </row>
    <row r="26" customFormat="false" ht="15" hidden="false" customHeight="false" outlineLevel="0" collapsed="false">
      <c r="A26" s="12" t="s">
        <v>190</v>
      </c>
    </row>
    <row r="27" customFormat="false" ht="15" hidden="false" customHeight="false" outlineLevel="0" collapsed="false">
      <c r="A27" s="12" t="s">
        <v>191</v>
      </c>
    </row>
    <row r="28" customFormat="false" ht="15" hidden="false" customHeight="false" outlineLevel="0" collapsed="false">
      <c r="A28" s="12" t="s">
        <v>192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7" min="2" style="0" width="12"/>
  </cols>
  <sheetData>
    <row r="1" customFormat="false" ht="15" hidden="false" customHeight="false" outlineLevel="0" collapsed="false">
      <c r="A1" s="1" t="s">
        <v>193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194</v>
      </c>
      <c r="C4" s="4" t="s">
        <v>195</v>
      </c>
      <c r="D4" s="4" t="s">
        <v>196</v>
      </c>
      <c r="E4" s="4" t="s">
        <v>197</v>
      </c>
      <c r="F4" s="4" t="s">
        <v>198</v>
      </c>
      <c r="G4" s="4" t="s">
        <v>199</v>
      </c>
    </row>
    <row r="5" customFormat="false" ht="15" hidden="false" customHeight="false" outlineLevel="0" collapsed="false">
      <c r="A5" s="5" t="s">
        <v>171</v>
      </c>
      <c r="B5" s="37" t="n">
        <v>5.5077</v>
      </c>
      <c r="C5" s="37" t="n">
        <v>5.7673</v>
      </c>
      <c r="D5" s="37" t="n">
        <v>8.1946</v>
      </c>
      <c r="E5" s="38" t="n">
        <f aca="false">SUM(Quarterly!J5:M5)</f>
        <v>12.0001</v>
      </c>
      <c r="F5" s="39" t="n">
        <f aca="false">Assumptions!$B$38</f>
        <v>20</v>
      </c>
      <c r="G5" s="38" t="n">
        <f aca="false">F5*(1+Scenarios!B6)</f>
        <v>28</v>
      </c>
    </row>
    <row r="6" customFormat="false" ht="15" hidden="false" customHeight="false" outlineLevel="0" collapsed="false">
      <c r="A6" s="25" t="s">
        <v>200</v>
      </c>
      <c r="B6" s="27"/>
      <c r="C6" s="27" t="n">
        <f aca="false">C5/B5-1</f>
        <v>0.0471340123826642</v>
      </c>
      <c r="D6" s="27" t="n">
        <f aca="false">D5/C5-1</f>
        <v>0.420872852114508</v>
      </c>
      <c r="E6" s="27" t="n">
        <f aca="false">E5/D5-1</f>
        <v>0.464391184438533</v>
      </c>
      <c r="F6" s="27" t="n">
        <f aca="false">F5/E5-1</f>
        <v>0.666652777893518</v>
      </c>
      <c r="G6" s="27" t="n">
        <f aca="false">G5/F5-1</f>
        <v>0.4</v>
      </c>
    </row>
    <row r="7" customFormat="false" ht="15" hidden="false" customHeight="false" outlineLevel="0" collapsed="false">
      <c r="A7" s="25" t="s">
        <v>172</v>
      </c>
      <c r="B7" s="37" t="n">
        <v>2.2167</v>
      </c>
      <c r="C7" s="37" t="n">
        <v>4.1642</v>
      </c>
      <c r="D7" s="37" t="n">
        <v>6.1003</v>
      </c>
      <c r="E7" s="38" t="n">
        <f aca="false">DataCentre!C5</f>
        <v>9.7501</v>
      </c>
      <c r="F7" s="38" t="n">
        <f aca="false">DataCentre!D5</f>
        <v>18</v>
      </c>
      <c r="G7" s="38"/>
    </row>
    <row r="8" customFormat="false" ht="15" hidden="false" customHeight="false" outlineLevel="0" collapsed="false">
      <c r="A8" s="25" t="s">
        <v>175</v>
      </c>
      <c r="B8" s="28" t="n">
        <v>0.612</v>
      </c>
      <c r="C8" s="28" t="n">
        <v>0.61</v>
      </c>
      <c r="D8" s="28" t="n">
        <v>0.595</v>
      </c>
      <c r="E8" s="27" t="n">
        <f aca="false">(SUMPRODUCT(Quarterly!J5:M5,Quarterly!J9:M9))/E5</f>
        <v>0.583867792768394</v>
      </c>
      <c r="F8" s="10" t="n">
        <f aca="false">Assumptions!$B$49</f>
        <v>0.58</v>
      </c>
      <c r="G8" s="27"/>
    </row>
    <row r="9" customFormat="false" ht="15" hidden="false" customHeight="false" outlineLevel="0" collapsed="false">
      <c r="A9" s="25" t="s">
        <v>176</v>
      </c>
      <c r="B9" s="26"/>
      <c r="C9" s="26"/>
      <c r="D9" s="26"/>
      <c r="E9" s="26" t="n">
        <f aca="false">SUM(Quarterly!J10:M10)</f>
        <v>2.55</v>
      </c>
      <c r="F9" s="26" t="n">
        <f aca="false">E9*(1+Assumptions!$B$50*F6)</f>
        <v>3.39998229181423</v>
      </c>
      <c r="G9" s="26"/>
    </row>
    <row r="10" customFormat="false" ht="15" hidden="false" customHeight="false" outlineLevel="0" collapsed="false">
      <c r="A10" s="5" t="s">
        <v>201</v>
      </c>
      <c r="B10" s="23" t="n">
        <v>1.597233</v>
      </c>
      <c r="C10" s="23" t="n">
        <v>1.6667497</v>
      </c>
      <c r="D10" s="23" t="n">
        <v>2.8926938</v>
      </c>
      <c r="E10" s="26" t="n">
        <f aca="false">SUM(Quarterly!J11:M11)</f>
        <v>4.45674</v>
      </c>
      <c r="F10" s="26" t="n">
        <f aca="false">F5*F8-F9</f>
        <v>8.20001770818577</v>
      </c>
      <c r="G10" s="26" t="n">
        <f aca="false">G5*Scenarios!C6</f>
        <v>12.04</v>
      </c>
    </row>
    <row r="11" customFormat="false" ht="15" hidden="false" customHeight="false" outlineLevel="0" collapsed="false">
      <c r="A11" s="25" t="s">
        <v>202</v>
      </c>
      <c r="B11" s="27" t="n">
        <f aca="false">B10/B5</f>
        <v>0.29</v>
      </c>
      <c r="C11" s="27" t="n">
        <f aca="false">C10/C5</f>
        <v>0.289</v>
      </c>
      <c r="D11" s="27" t="n">
        <f aca="false">D10/D5</f>
        <v>0.353</v>
      </c>
      <c r="E11" s="27" t="n">
        <f aca="false">E10/E5</f>
        <v>0.371391905067458</v>
      </c>
      <c r="F11" s="27" t="n">
        <f aca="false">F10/F5</f>
        <v>0.410000885409288</v>
      </c>
      <c r="G11" s="27" t="n">
        <f aca="false">G10/G5</f>
        <v>0.43</v>
      </c>
    </row>
    <row r="12" customFormat="false" ht="15" hidden="false" customHeight="false" outlineLevel="0" collapsed="false">
      <c r="A12" s="25" t="s">
        <v>203</v>
      </c>
      <c r="B12" s="26"/>
      <c r="C12" s="26"/>
      <c r="D12" s="26"/>
      <c r="E12" s="26"/>
      <c r="F12" s="24" t="n">
        <f aca="false">Assumptions!$B$51</f>
        <v>-0.14</v>
      </c>
      <c r="G12" s="24" t="n">
        <f aca="false">Assumptions!$B$53</f>
        <v>-0.12</v>
      </c>
    </row>
    <row r="13" customFormat="false" ht="15" hidden="false" customHeight="false" outlineLevel="0" collapsed="false">
      <c r="A13" s="25" t="s">
        <v>204</v>
      </c>
      <c r="B13" s="27"/>
      <c r="C13" s="27"/>
      <c r="D13" s="27"/>
      <c r="E13" s="10" t="n">
        <f aca="false">Assumptions!$B$33</f>
        <v>0.11</v>
      </c>
      <c r="F13" s="10" t="n">
        <f aca="false">Assumptions!$B$39</f>
        <v>0.13</v>
      </c>
      <c r="G13" s="10" t="n">
        <f aca="false">Assumptions!$B$54</f>
        <v>0.15</v>
      </c>
    </row>
    <row r="14" customFormat="false" ht="15" hidden="false" customHeight="false" outlineLevel="0" collapsed="false">
      <c r="A14" s="5" t="s">
        <v>205</v>
      </c>
      <c r="B14" s="23" t="n">
        <v>1.3101</v>
      </c>
      <c r="C14" s="23" t="n">
        <v>1.3773</v>
      </c>
      <c r="D14" s="23" t="n">
        <v>2.4656</v>
      </c>
      <c r="E14" s="26" t="n">
        <f aca="false">SUM(Quarterly!J13:M13)</f>
        <v>3.8397296</v>
      </c>
      <c r="F14" s="26" t="n">
        <f aca="false">(F10+F12)*(1-F13)</f>
        <v>7.01221540612162</v>
      </c>
      <c r="G14" s="26" t="n">
        <f aca="false">(G10+G12)*(1-G13)</f>
        <v>10.132</v>
      </c>
    </row>
    <row r="15" customFormat="false" ht="15" hidden="false" customHeight="false" outlineLevel="0" collapsed="false">
      <c r="A15" s="25" t="s">
        <v>180</v>
      </c>
      <c r="B15" s="29"/>
      <c r="C15" s="29"/>
      <c r="D15" s="29"/>
      <c r="E15" s="29" t="n">
        <f aca="false">E14/E16</f>
        <v>0.917831078338988</v>
      </c>
      <c r="F15" s="31" t="n">
        <f aca="false">Assumptions!$B$52</f>
        <v>0.93</v>
      </c>
      <c r="G15" s="31" t="n">
        <f aca="false">Assumptions!$B$55</f>
        <v>0.94</v>
      </c>
    </row>
    <row r="16" customFormat="false" ht="15" hidden="false" customHeight="false" outlineLevel="0" collapsed="false">
      <c r="A16" s="5" t="s">
        <v>206</v>
      </c>
      <c r="B16" s="32" t="n">
        <v>1.51</v>
      </c>
      <c r="C16" s="32" t="n">
        <v>1.57</v>
      </c>
      <c r="D16" s="32" t="n">
        <v>2.84</v>
      </c>
      <c r="E16" s="33" t="n">
        <f aca="false">SUM(Quarterly!J15:M15)</f>
        <v>4.18348178724653</v>
      </c>
      <c r="F16" s="33" t="n">
        <f aca="false">F14/F15</f>
        <v>7.54001656572217</v>
      </c>
      <c r="G16" s="33" t="n">
        <f aca="false">G14/G15</f>
        <v>10.7787234042553</v>
      </c>
    </row>
    <row r="17" customFormat="false" ht="15" hidden="false" customHeight="false" outlineLevel="0" collapsed="false">
      <c r="A17" s="25" t="s">
        <v>207</v>
      </c>
      <c r="B17" s="27"/>
      <c r="C17" s="27" t="n">
        <f aca="false">C16/B16-1</f>
        <v>0.0397350993377483</v>
      </c>
      <c r="D17" s="27" t="n">
        <f aca="false">D16/C16-1</f>
        <v>0.808917197452229</v>
      </c>
      <c r="E17" s="27" t="n">
        <f aca="false">E16/D16-1</f>
        <v>0.473056967340328</v>
      </c>
      <c r="F17" s="27" t="n">
        <f aca="false">F16/E16-1</f>
        <v>0.802330438896169</v>
      </c>
      <c r="G17" s="27" t="n">
        <f aca="false">G16/F16-1</f>
        <v>0.429535772276245</v>
      </c>
    </row>
    <row r="18" customFormat="false" ht="15" hidden="false" customHeight="false" outlineLevel="0" collapsed="false">
      <c r="A18" s="25" t="s">
        <v>208</v>
      </c>
      <c r="B18" s="40"/>
      <c r="C18" s="40"/>
      <c r="D18" s="41" t="n">
        <f aca="false">Assumptions!$B$7/D16</f>
        <v>100.239436619718</v>
      </c>
      <c r="E18" s="41" t="n">
        <f aca="false">Assumptions!$B$7/E16</f>
        <v>68.0485811765347</v>
      </c>
      <c r="F18" s="41" t="n">
        <f aca="false">Assumptions!$B$7/F16</f>
        <v>37.7558852183681</v>
      </c>
      <c r="G18" s="41" t="n">
        <f aca="false">Assumptions!$B$7/G16</f>
        <v>26.4112909593368</v>
      </c>
    </row>
    <row r="19" customFormat="false" ht="15" hidden="false" customHeight="false" outlineLevel="0" collapsed="false">
      <c r="A19" s="25" t="s">
        <v>209</v>
      </c>
      <c r="B19" s="33"/>
      <c r="C19" s="33"/>
      <c r="D19" s="33"/>
      <c r="E19" s="9" t="n">
        <f aca="false">Assumptions!$B$23</f>
        <v>4.22</v>
      </c>
      <c r="F19" s="9" t="n">
        <f aca="false">Assumptions!$B$24</f>
        <v>6.75</v>
      </c>
      <c r="G19" s="33"/>
    </row>
    <row r="20" customFormat="false" ht="15" hidden="false" customHeight="false" outlineLevel="0" collapsed="false">
      <c r="A20" s="25" t="s">
        <v>210</v>
      </c>
      <c r="B20" s="27"/>
      <c r="C20" s="27"/>
      <c r="D20" s="27"/>
      <c r="E20" s="27" t="n">
        <f aca="false">E16/E19-1</f>
        <v>-0.00865360491788392</v>
      </c>
      <c r="F20" s="27" t="n">
        <f aca="false">F16/F19-1</f>
        <v>0.117039491218099</v>
      </c>
      <c r="G20" s="27"/>
    </row>
    <row r="21" customFormat="false" ht="15" hidden="false" customHeight="false" outlineLevel="0" collapsed="false">
      <c r="A21" s="25" t="s">
        <v>211</v>
      </c>
      <c r="B21" s="40"/>
      <c r="C21" s="40"/>
      <c r="D21" s="40"/>
      <c r="E21" s="41" t="n">
        <f aca="false">Assumptions!$B$7/E19</f>
        <v>67.4597156398104</v>
      </c>
      <c r="F21" s="41" t="n">
        <f aca="false">Assumptions!$B$7/F19</f>
        <v>42.1748148148148</v>
      </c>
      <c r="G21" s="40"/>
    </row>
    <row r="24" customFormat="false" ht="15" hidden="false" customHeight="false" outlineLevel="0" collapsed="false">
      <c r="A24" s="12" t="s">
        <v>212</v>
      </c>
    </row>
    <row r="25" customFormat="false" ht="15" hidden="false" customHeight="false" outlineLevel="0" collapsed="false">
      <c r="A25" s="12" t="s">
        <v>213</v>
      </c>
    </row>
    <row r="26" customFormat="false" ht="15" hidden="false" customHeight="false" outlineLevel="0" collapsed="false">
      <c r="A26" s="12" t="s">
        <v>214</v>
      </c>
    </row>
    <row r="27" customFormat="false" ht="15" hidden="false" customHeight="false" outlineLevel="0" collapsed="false">
      <c r="A27" s="12" t="s">
        <v>215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2"/>
    <col collapsed="false" customWidth="true" hidden="false" outlineLevel="0" max="5" min="5" style="0" width="70"/>
  </cols>
  <sheetData>
    <row r="1" customFormat="false" ht="15" hidden="false" customHeight="false" outlineLevel="0" collapsed="false">
      <c r="A1" s="1" t="s">
        <v>216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217</v>
      </c>
      <c r="B4" s="4" t="s">
        <v>218</v>
      </c>
      <c r="C4" s="4" t="s">
        <v>197</v>
      </c>
      <c r="D4" s="4" t="s">
        <v>198</v>
      </c>
      <c r="E4" s="4" t="s">
        <v>219</v>
      </c>
    </row>
    <row r="5" customFormat="false" ht="15" hidden="false" customHeight="false" outlineLevel="0" collapsed="false">
      <c r="A5" s="5" t="s">
        <v>172</v>
      </c>
      <c r="B5" s="37" t="n">
        <v>6.1003</v>
      </c>
      <c r="C5" s="38" t="n">
        <f aca="false">Financials!E5-Assumptions!$B$57</f>
        <v>9.7501</v>
      </c>
      <c r="D5" s="38" t="n">
        <f aca="false">Financials!F5-Assumptions!$B$58</f>
        <v>18</v>
      </c>
      <c r="E5" s="7" t="s">
        <v>220</v>
      </c>
    </row>
    <row r="6" customFormat="false" ht="15" hidden="false" customHeight="false" outlineLevel="0" collapsed="false">
      <c r="A6" s="25" t="s">
        <v>221</v>
      </c>
      <c r="B6" s="39" t="n">
        <f aca="false">Assumptions!$B$40</f>
        <v>1.5</v>
      </c>
      <c r="C6" s="39" t="n">
        <f aca="false">Assumptions!$B$59</f>
        <v>2</v>
      </c>
      <c r="D6" s="39" t="n">
        <f aca="false">Assumptions!$B$61</f>
        <v>3.9</v>
      </c>
      <c r="E6" s="7" t="s">
        <v>222</v>
      </c>
    </row>
    <row r="7" customFormat="false" ht="15" hidden="false" customHeight="false" outlineLevel="0" collapsed="false">
      <c r="A7" s="25" t="s">
        <v>223</v>
      </c>
      <c r="B7" s="39" t="n">
        <f aca="false">Assumptions!$B$41</f>
        <v>0.3</v>
      </c>
      <c r="C7" s="39" t="n">
        <f aca="false">Assumptions!$B$60</f>
        <v>0.65</v>
      </c>
      <c r="D7" s="39" t="n">
        <f aca="false">Assumptions!$B$62</f>
        <v>1.5</v>
      </c>
      <c r="E7" s="7" t="s">
        <v>224</v>
      </c>
    </row>
    <row r="8" customFormat="false" ht="15" hidden="false" customHeight="false" outlineLevel="0" collapsed="false">
      <c r="A8" s="25" t="s">
        <v>225</v>
      </c>
      <c r="B8" s="38" t="n">
        <f aca="false">B5-B6-B7</f>
        <v>4.3003</v>
      </c>
      <c r="C8" s="38" t="n">
        <f aca="false">C5-C6-C7</f>
        <v>7.1001</v>
      </c>
      <c r="D8" s="38" t="n">
        <f aca="false">D5-D6-D7</f>
        <v>12.6</v>
      </c>
      <c r="E8" s="7" t="s">
        <v>226</v>
      </c>
    </row>
    <row r="9" customFormat="false" ht="23.85" hidden="false" customHeight="false" outlineLevel="0" collapsed="false">
      <c r="A9" s="25" t="s">
        <v>227</v>
      </c>
      <c r="B9" s="27"/>
      <c r="C9" s="27" t="n">
        <f aca="false">C5/B5-1</f>
        <v>0.598298444338803</v>
      </c>
      <c r="D9" s="27" t="n">
        <f aca="false">D5/C5-1</f>
        <v>0.846134911436806</v>
      </c>
      <c r="E9" s="7" t="s">
        <v>228</v>
      </c>
    </row>
    <row r="10" customFormat="false" ht="15" hidden="false" customHeight="false" outlineLevel="0" collapsed="false">
      <c r="A10" s="25" t="s">
        <v>229</v>
      </c>
      <c r="B10" s="27"/>
      <c r="C10" s="27" t="n">
        <f aca="false">C8/B8-1</f>
        <v>0.651070855521708</v>
      </c>
      <c r="D10" s="27" t="n">
        <f aca="false">D8/C8-1</f>
        <v>0.774622892635315</v>
      </c>
      <c r="E10" s="7" t="s">
        <v>230</v>
      </c>
    </row>
    <row r="11" customFormat="false" ht="15" hidden="false" customHeight="false" outlineLevel="0" collapsed="false">
      <c r="A11" s="5" t="s">
        <v>231</v>
      </c>
      <c r="B11" s="27"/>
      <c r="C11" s="27" t="n">
        <f aca="false">(C6-B6)/(C5-B5)</f>
        <v>0.136993807879884</v>
      </c>
      <c r="D11" s="27" t="n">
        <f aca="false">(D6-C6)/(D5-C5)</f>
        <v>0.23030582188875</v>
      </c>
      <c r="E11" s="7" t="s">
        <v>232</v>
      </c>
    </row>
    <row r="12" customFormat="false" ht="15" hidden="false" customHeight="false" outlineLevel="0" collapsed="false">
      <c r="A12" s="25" t="s">
        <v>233</v>
      </c>
      <c r="B12" s="27"/>
      <c r="C12" s="27" t="n">
        <f aca="false">(C8-B8)/(C5-B5)</f>
        <v>0.767110526604197</v>
      </c>
      <c r="D12" s="27" t="n">
        <f aca="false">(D8-C8)/(D5-C5)</f>
        <v>0.666662626213651</v>
      </c>
      <c r="E12" s="7"/>
    </row>
    <row r="13" customFormat="false" ht="15" hidden="false" customHeight="false" outlineLevel="0" collapsed="false">
      <c r="A13" s="25" t="s">
        <v>234</v>
      </c>
      <c r="B13" s="27" t="n">
        <f aca="false">B6/B5</f>
        <v>0.24588954641575</v>
      </c>
      <c r="C13" s="27" t="n">
        <f aca="false">C6/C5</f>
        <v>0.205126101270756</v>
      </c>
      <c r="D13" s="27" t="n">
        <f aca="false">D6/D5</f>
        <v>0.216666666666667</v>
      </c>
      <c r="E13" s="7"/>
    </row>
    <row r="15" customFormat="false" ht="15" hidden="false" customHeight="false" outlineLevel="0" collapsed="false">
      <c r="A15" s="12" t="s">
        <v>235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0" min="2" style="0" width="12"/>
  </cols>
  <sheetData>
    <row r="1" customFormat="false" ht="15" hidden="false" customHeight="false" outlineLevel="0" collapsed="false">
      <c r="A1" s="1" t="s">
        <v>236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237</v>
      </c>
      <c r="B4" s="4" t="s">
        <v>238</v>
      </c>
      <c r="C4" s="4" t="s">
        <v>239</v>
      </c>
      <c r="D4" s="4" t="s">
        <v>240</v>
      </c>
      <c r="E4" s="4" t="s">
        <v>241</v>
      </c>
      <c r="F4" s="4" t="s">
        <v>242</v>
      </c>
      <c r="G4" s="4" t="s">
        <v>243</v>
      </c>
      <c r="H4" s="4" t="s">
        <v>244</v>
      </c>
      <c r="I4" s="4" t="s">
        <v>245</v>
      </c>
      <c r="J4" s="4" t="s">
        <v>246</v>
      </c>
    </row>
    <row r="5" customFormat="false" ht="15" hidden="false" customHeight="false" outlineLevel="0" collapsed="false">
      <c r="A5" s="5" t="s">
        <v>247</v>
      </c>
      <c r="B5" s="20" t="n">
        <v>0</v>
      </c>
      <c r="C5" s="20" t="n">
        <v>0.39</v>
      </c>
      <c r="D5" s="42" t="n">
        <f aca="false">Financials!$F$5*(1+B5)</f>
        <v>20</v>
      </c>
      <c r="E5" s="43" t="n">
        <f aca="false">D5*C5</f>
        <v>7.8</v>
      </c>
      <c r="F5" s="43" t="n">
        <f aca="false">(E5+Assumptions!$B$53)*(1-Assumptions!$B$54)</f>
        <v>6.528</v>
      </c>
      <c r="G5" s="34" t="n">
        <f aca="false">F5/Assumptions!$B$55</f>
        <v>6.94468085106383</v>
      </c>
      <c r="H5" s="22" t="n">
        <v>22</v>
      </c>
      <c r="I5" s="34" t="n">
        <f aca="false">G5*H5</f>
        <v>152.782978723404</v>
      </c>
      <c r="J5" s="44" t="n">
        <f aca="false">I5/Assumptions!$B$7-1</f>
        <v>-0.463316781216087</v>
      </c>
    </row>
    <row r="6" customFormat="false" ht="15" hidden="false" customHeight="false" outlineLevel="0" collapsed="false">
      <c r="A6" s="5" t="s">
        <v>248</v>
      </c>
      <c r="B6" s="20" t="n">
        <v>0.4</v>
      </c>
      <c r="C6" s="20" t="n">
        <v>0.43</v>
      </c>
      <c r="D6" s="42" t="n">
        <f aca="false">Financials!$F$5*(1+B6)</f>
        <v>28</v>
      </c>
      <c r="E6" s="43" t="n">
        <f aca="false">D6*C6</f>
        <v>12.04</v>
      </c>
      <c r="F6" s="43" t="n">
        <f aca="false">(E6+Assumptions!$B$53)*(1-Assumptions!$B$54)</f>
        <v>10.132</v>
      </c>
      <c r="G6" s="34" t="n">
        <f aca="false">F6/Assumptions!$B$55</f>
        <v>10.7787234042553</v>
      </c>
      <c r="H6" s="45" t="n">
        <f aca="false">Assumptions!$B$56</f>
        <v>33</v>
      </c>
      <c r="I6" s="34" t="n">
        <f aca="false">G6*H6</f>
        <v>355.697872340426</v>
      </c>
      <c r="J6" s="44" t="n">
        <f aca="false">I6/Assumptions!$B$7-1</f>
        <v>0.249465618731297</v>
      </c>
    </row>
    <row r="7" customFormat="false" ht="15" hidden="false" customHeight="false" outlineLevel="0" collapsed="false">
      <c r="A7" s="5" t="s">
        <v>249</v>
      </c>
      <c r="B7" s="20" t="n">
        <v>0.6</v>
      </c>
      <c r="C7" s="20" t="n">
        <v>0.45</v>
      </c>
      <c r="D7" s="42" t="n">
        <f aca="false">Financials!$F$5*(1+B7)</f>
        <v>32</v>
      </c>
      <c r="E7" s="43" t="n">
        <f aca="false">D7*C7</f>
        <v>14.4</v>
      </c>
      <c r="F7" s="43" t="n">
        <f aca="false">(E7+Assumptions!$B$53)*(1-Assumptions!$B$54)</f>
        <v>12.138</v>
      </c>
      <c r="G7" s="34" t="n">
        <f aca="false">F7/Assumptions!$B$55</f>
        <v>12.9127659574468</v>
      </c>
      <c r="H7" s="22" t="n">
        <v>40</v>
      </c>
      <c r="I7" s="34" t="n">
        <f aca="false">G7*H7</f>
        <v>516.510638297872</v>
      </c>
      <c r="J7" s="44" t="n">
        <f aca="false">I7/Assumptions!$B$7-1</f>
        <v>0.814355199866068</v>
      </c>
    </row>
    <row r="9" customFormat="false" ht="15" hidden="false" customHeight="false" outlineLevel="0" collapsed="false">
      <c r="B9" s="5" t="s">
        <v>247</v>
      </c>
      <c r="C9" s="5" t="s">
        <v>248</v>
      </c>
      <c r="D9" s="5" t="s">
        <v>249</v>
      </c>
    </row>
    <row r="10" customFormat="false" ht="15" hidden="false" customHeight="false" outlineLevel="0" collapsed="false">
      <c r="A10" s="5" t="s">
        <v>250</v>
      </c>
      <c r="B10" s="46" t="n">
        <v>0.25</v>
      </c>
      <c r="C10" s="46" t="n">
        <v>0.5</v>
      </c>
      <c r="D10" s="46" t="n">
        <v>0.25</v>
      </c>
      <c r="E10" s="44" t="n">
        <f aca="false">SUM(B10:D10)</f>
        <v>1</v>
      </c>
      <c r="F10" s="12" t="s">
        <v>251</v>
      </c>
    </row>
    <row r="12" customFormat="false" ht="15" hidden="false" customHeight="false" outlineLevel="0" collapsed="false">
      <c r="A12" s="5" t="s">
        <v>15</v>
      </c>
      <c r="I12" s="47" t="n">
        <f aca="false">B10*I5+C10*I6+D10*I7</f>
        <v>345.172340425532</v>
      </c>
      <c r="J12" s="35" t="n">
        <f aca="false">I12/Assumptions!$B$7-1</f>
        <v>0.212492414028144</v>
      </c>
    </row>
    <row r="14" customFormat="false" ht="15" hidden="false" customHeight="false" outlineLevel="0" collapsed="false">
      <c r="A14" s="12" t="s">
        <v>252</v>
      </c>
    </row>
    <row r="15" customFormat="false" ht="15" hidden="false" customHeight="false" outlineLevel="0" collapsed="false">
      <c r="A15" s="12" t="s">
        <v>253</v>
      </c>
    </row>
    <row r="16" customFormat="false" ht="15" hidden="false" customHeight="false" outlineLevel="0" collapsed="false">
      <c r="A16" s="12" t="s">
        <v>254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255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256</v>
      </c>
      <c r="B4" s="4" t="s">
        <v>3</v>
      </c>
      <c r="C4" s="4" t="s">
        <v>257</v>
      </c>
    </row>
    <row r="5" customFormat="false" ht="15" hidden="false" customHeight="false" outlineLevel="0" collapsed="false">
      <c r="A5" s="0" t="s">
        <v>258</v>
      </c>
      <c r="B5" s="34" t="n">
        <f aca="false">Financials!G16</f>
        <v>10.7787234042553</v>
      </c>
      <c r="C5" s="7" t="s">
        <v>259</v>
      </c>
    </row>
    <row r="6" customFormat="false" ht="15" hidden="false" customHeight="false" outlineLevel="0" collapsed="false">
      <c r="A6" s="0" t="s">
        <v>260</v>
      </c>
      <c r="B6" s="48" t="n">
        <f aca="false">Assumptions!$B$56</f>
        <v>33</v>
      </c>
      <c r="C6" s="7" t="s">
        <v>261</v>
      </c>
    </row>
    <row r="7" customFormat="false" ht="15" hidden="false" customHeight="false" outlineLevel="0" collapsed="false">
      <c r="A7" s="5" t="s">
        <v>262</v>
      </c>
      <c r="B7" s="47" t="n">
        <f aca="false">B5*B6</f>
        <v>355.697872340426</v>
      </c>
      <c r="C7" s="7" t="s">
        <v>263</v>
      </c>
    </row>
    <row r="8" customFormat="false" ht="15" hidden="false" customHeight="false" outlineLevel="0" collapsed="false">
      <c r="A8" s="0" t="s">
        <v>10</v>
      </c>
      <c r="B8" s="34" t="n">
        <f aca="false">Assumptions!$B$7</f>
        <v>284.68</v>
      </c>
      <c r="C8" s="7" t="s">
        <v>11</v>
      </c>
    </row>
    <row r="9" customFormat="false" ht="15" hidden="false" customHeight="false" outlineLevel="0" collapsed="false">
      <c r="A9" s="0" t="s">
        <v>14</v>
      </c>
      <c r="B9" s="35" t="n">
        <f aca="false">B7/B8-1</f>
        <v>0.249465618731297</v>
      </c>
      <c r="C9" s="7"/>
    </row>
    <row r="10" customFormat="false" ht="15" hidden="false" customHeight="false" outlineLevel="0" collapsed="false">
      <c r="A10" s="0" t="s">
        <v>15</v>
      </c>
      <c r="B10" s="34" t="n">
        <f aca="false">Scenarios!I12</f>
        <v>345.172340425532</v>
      </c>
      <c r="C10" s="7" t="s">
        <v>264</v>
      </c>
    </row>
    <row r="11" customFormat="false" ht="23.85" hidden="false" customHeight="false" outlineLevel="0" collapsed="false">
      <c r="A11" s="0" t="s">
        <v>265</v>
      </c>
      <c r="B11" s="0" t="str">
        <f aca="false">IF(B9&gt;=0.15,"LONG",IF(B9&lt;=-0.25,"SHORT","NO CALL"))</f>
        <v>LONG</v>
      </c>
      <c r="C11" s="7" t="s">
        <v>266</v>
      </c>
    </row>
    <row r="12" customFormat="false" ht="15" hidden="false" customHeight="false" outlineLevel="0" collapsed="false">
      <c r="A12" s="5" t="s">
        <v>267</v>
      </c>
      <c r="B12" s="49" t="s">
        <v>268</v>
      </c>
      <c r="C12" s="7" t="s">
        <v>269</v>
      </c>
    </row>
    <row r="13" customFormat="false" ht="15" hidden="false" customHeight="false" outlineLevel="0" collapsed="false">
      <c r="A13" s="0" t="s">
        <v>270</v>
      </c>
      <c r="B13" s="36" t="n">
        <f aca="false">Assumptions!$B$7*Assumptions!$B$14</f>
        <v>249.635892</v>
      </c>
      <c r="C13" s="7"/>
    </row>
    <row r="14" customFormat="false" ht="15" hidden="false" customHeight="false" outlineLevel="0" collapsed="false">
      <c r="A14" s="0" t="s">
        <v>271</v>
      </c>
      <c r="B14" s="36" t="n">
        <f aca="false">Assumptions!$B$7*(Assumptions!$B$14+Assumptions!$B$15)</f>
        <v>255.83565304</v>
      </c>
      <c r="C14" s="7"/>
    </row>
    <row r="15" customFormat="false" ht="15" hidden="false" customHeight="false" outlineLevel="0" collapsed="false">
      <c r="A15" s="0" t="s">
        <v>272</v>
      </c>
      <c r="B15" s="43" t="n">
        <f aca="false">Assumptions!$B$18-Assumptions!$B$17</f>
        <v>1.0301</v>
      </c>
      <c r="C15" s="7" t="s">
        <v>273</v>
      </c>
    </row>
    <row r="16" customFormat="false" ht="15" hidden="false" customHeight="false" outlineLevel="0" collapsed="false">
      <c r="A16" s="0" t="s">
        <v>274</v>
      </c>
      <c r="B16" s="36" t="n">
        <f aca="false">B14+B15</f>
        <v>256.86575304</v>
      </c>
      <c r="C16" s="7"/>
    </row>
    <row r="17" customFormat="false" ht="15" hidden="false" customHeight="false" outlineLevel="0" collapsed="false">
      <c r="A17" s="0" t="s">
        <v>275</v>
      </c>
      <c r="B17" s="44" t="n">
        <f aca="false">Assumptions!$B$7/Assumptions!$B$11-1</f>
        <v>2.86111487861115</v>
      </c>
      <c r="C17" s="7"/>
    </row>
    <row r="18" customFormat="false" ht="15" hidden="false" customHeight="false" outlineLevel="0" collapsed="false">
      <c r="A18" s="0" t="s">
        <v>276</v>
      </c>
      <c r="B18" s="44" t="n">
        <f aca="false">Assumptions!$B$7/Assumptions!$B$12-1</f>
        <v>2.3499646975759</v>
      </c>
      <c r="C18" s="7"/>
    </row>
    <row r="19" customFormat="false" ht="15" hidden="false" customHeight="false" outlineLevel="0" collapsed="false">
      <c r="A19" s="0" t="s">
        <v>277</v>
      </c>
      <c r="B19" s="35" t="n">
        <f aca="false">Assumptions!$B$7/Assumptions!$B$13-1</f>
        <v>0.0868137741467512</v>
      </c>
      <c r="C19" s="7"/>
    </row>
    <row r="20" customFormat="false" ht="15" hidden="false" customHeight="false" outlineLevel="0" collapsed="false">
      <c r="A20" s="0" t="s">
        <v>278</v>
      </c>
      <c r="B20" s="35" t="n">
        <f aca="false">Assumptions!$B$7/Assumptions!$B$9-1</f>
        <v>-0.100338147457574</v>
      </c>
      <c r="C20" s="7"/>
    </row>
    <row r="21" customFormat="false" ht="15" hidden="false" customHeight="false" outlineLevel="0" collapsed="false">
      <c r="A21" s="0" t="s">
        <v>279</v>
      </c>
      <c r="B21" s="50" t="n">
        <f aca="false">Financials!D18</f>
        <v>100.239436619718</v>
      </c>
      <c r="C21" s="7"/>
    </row>
    <row r="22" customFormat="false" ht="15" hidden="false" customHeight="false" outlineLevel="0" collapsed="false">
      <c r="A22" s="0" t="s">
        <v>280</v>
      </c>
      <c r="B22" s="50" t="n">
        <f aca="false">Financials!E18</f>
        <v>68.0485811765347</v>
      </c>
      <c r="C22" s="7"/>
    </row>
    <row r="23" customFormat="false" ht="15" hidden="false" customHeight="false" outlineLevel="0" collapsed="false">
      <c r="A23" s="0" t="s">
        <v>281</v>
      </c>
      <c r="B23" s="50" t="n">
        <f aca="false">Financials!F18</f>
        <v>37.7558852183681</v>
      </c>
      <c r="C23" s="7"/>
    </row>
    <row r="24" customFormat="false" ht="15" hidden="false" customHeight="false" outlineLevel="0" collapsed="false">
      <c r="A24" s="0" t="s">
        <v>282</v>
      </c>
      <c r="B24" s="50" t="n">
        <f aca="false">Financials!G18</f>
        <v>26.4112909593368</v>
      </c>
      <c r="C24" s="7"/>
    </row>
    <row r="25" customFormat="false" ht="15" hidden="false" customHeight="false" outlineLevel="0" collapsed="false">
      <c r="A25" s="0" t="s">
        <v>283</v>
      </c>
      <c r="B25" s="50" t="n">
        <f aca="false">Financials!E21</f>
        <v>67.4597156398104</v>
      </c>
      <c r="C25" s="7" t="s">
        <v>284</v>
      </c>
    </row>
    <row r="26" customFormat="false" ht="15" hidden="false" customHeight="false" outlineLevel="0" collapsed="false">
      <c r="A26" s="0" t="s">
        <v>285</v>
      </c>
      <c r="B26" s="50" t="n">
        <f aca="false">Financials!F21</f>
        <v>42.1748148148148</v>
      </c>
      <c r="C26" s="7" t="s">
        <v>284</v>
      </c>
    </row>
    <row r="27" customFormat="false" ht="15" hidden="false" customHeight="false" outlineLevel="0" collapsed="false">
      <c r="A27" s="0" t="s">
        <v>286</v>
      </c>
      <c r="B27" s="34" t="n">
        <f aca="false">Assumptions!$B$7/Assumptions!$B$56</f>
        <v>8.62666666666667</v>
      </c>
      <c r="C27" s="7" t="s">
        <v>287</v>
      </c>
    </row>
    <row r="28" customFormat="false" ht="15" hidden="false" customHeight="false" outlineLevel="0" collapsed="false">
      <c r="A28" s="0" t="s">
        <v>288</v>
      </c>
      <c r="B28" s="43" t="n">
        <f aca="false">B27*Assumptions!$B$55/(1-Assumptions!$B$54)-Assumptions!$B$53</f>
        <v>9.66007843137255</v>
      </c>
      <c r="C28" s="7"/>
    </row>
    <row r="29" customFormat="false" ht="15" hidden="false" customHeight="false" outlineLevel="0" collapsed="false">
      <c r="A29" s="0" t="s">
        <v>289</v>
      </c>
      <c r="B29" s="42" t="n">
        <f aca="false">B28/Scenarios!C6</f>
        <v>22.4652986776106</v>
      </c>
      <c r="C29" s="7" t="s">
        <v>290</v>
      </c>
    </row>
    <row r="30" customFormat="false" ht="15" hidden="false" customHeight="false" outlineLevel="0" collapsed="false">
      <c r="A30" s="0" t="s">
        <v>291</v>
      </c>
      <c r="B30" s="35" t="n">
        <f aca="false">B29/Financials!F5-1</f>
        <v>0.123264933880529</v>
      </c>
      <c r="C30" s="7"/>
    </row>
    <row r="31" customFormat="false" ht="15" hidden="false" customHeight="false" outlineLevel="0" collapsed="false">
      <c r="A31" s="0" t="s">
        <v>292</v>
      </c>
      <c r="B31" s="34" t="n">
        <f aca="false">B7/1.15</f>
        <v>309.302497687327</v>
      </c>
      <c r="C31" s="7"/>
    </row>
    <row r="32" customFormat="false" ht="15" hidden="false" customHeight="false" outlineLevel="0" collapsed="false">
      <c r="A32" s="0" t="s">
        <v>293</v>
      </c>
      <c r="B32" s="34" t="n">
        <f aca="false">B7/0.75</f>
        <v>474.263829787234</v>
      </c>
      <c r="C32" s="7"/>
    </row>
    <row r="33" customFormat="false" ht="15" hidden="false" customHeight="false" outlineLevel="0" collapsed="false">
      <c r="A33" s="0" t="s">
        <v>294</v>
      </c>
      <c r="B33" s="34" t="n">
        <f aca="false">Assumptions!$B$7*1.15/Assumptions!$B$56</f>
        <v>9.92066666666667</v>
      </c>
      <c r="C33" s="7"/>
    </row>
    <row r="34" customFormat="false" ht="15" hidden="false" customHeight="false" outlineLevel="0" collapsed="false">
      <c r="A34" s="0" t="s">
        <v>295</v>
      </c>
      <c r="B34" s="34" t="n">
        <f aca="false">Assumptions!$B$7*0.75/Assumptions!$B$56</f>
        <v>6.47</v>
      </c>
      <c r="C34" s="7"/>
    </row>
    <row r="35" customFormat="false" ht="15" hidden="false" customHeight="false" outlineLevel="0" collapsed="false">
      <c r="A35" s="0" t="s">
        <v>296</v>
      </c>
      <c r="B35" s="42" t="n">
        <f aca="false">Assumptions!$B$15*Assumptions!$B$7</f>
        <v>6.19976104</v>
      </c>
      <c r="C35" s="7"/>
    </row>
    <row r="36" customFormat="false" ht="15" hidden="false" customHeight="false" outlineLevel="0" collapsed="false">
      <c r="A36" s="0" t="s">
        <v>297</v>
      </c>
      <c r="B36" s="44" t="n">
        <f aca="false">Assumptions!$B$7/Assumptions!$B$16-1</f>
        <v>2.09989056519538</v>
      </c>
      <c r="C36" s="7"/>
    </row>
    <row r="37" customFormat="false" ht="15" hidden="false" customHeight="false" outlineLevel="0" collapsed="false">
      <c r="A37" s="0" t="s">
        <v>298</v>
      </c>
      <c r="B37" s="51" t="n">
        <f aca="false">Assumptions!$B$19*(1-Assumptions!$B$20/Assumptions!$B$7)</f>
        <v>0.0161782627395672</v>
      </c>
      <c r="C37" s="7"/>
    </row>
    <row r="38" customFormat="false" ht="15" hidden="false" customHeight="false" outlineLevel="0" collapsed="false">
      <c r="A38" s="0" t="s">
        <v>299</v>
      </c>
      <c r="B38" s="36" t="n">
        <f aca="false">Assumptions!$B$21*Assumptions!$B$22</f>
        <v>120</v>
      </c>
      <c r="C38" s="7" t="s">
        <v>300</v>
      </c>
    </row>
    <row r="39" customFormat="false" ht="15" hidden="false" customHeight="false" outlineLevel="0" collapsed="false">
      <c r="A39" s="0" t="s">
        <v>301</v>
      </c>
      <c r="B39" s="35" t="n">
        <f aca="false">Assumptions!$B$42/Quarterly!K5</f>
        <v>0.119081517175921</v>
      </c>
      <c r="C39" s="7"/>
    </row>
    <row r="40" customFormat="false" ht="15" hidden="false" customHeight="false" outlineLevel="0" collapsed="false">
      <c r="A40" s="0" t="s">
        <v>302</v>
      </c>
      <c r="B40" s="52" t="n">
        <f aca="false">Assumptions!$B$42/Assumptions!$B$43</f>
        <v>2.12369791666667</v>
      </c>
      <c r="C40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303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304</v>
      </c>
      <c r="B4" s="53" t="n">
        <v>26</v>
      </c>
      <c r="C4" s="53" t="n">
        <f aca="false">Assumptions!$B$56</f>
        <v>33</v>
      </c>
      <c r="D4" s="53" t="n">
        <v>40</v>
      </c>
    </row>
    <row r="5" customFormat="false" ht="15" hidden="false" customHeight="false" outlineLevel="0" collapsed="false">
      <c r="A5" s="54" t="n">
        <v>8.5</v>
      </c>
      <c r="B5" s="55" t="n">
        <f aca="false">$A5*B$4</f>
        <v>221</v>
      </c>
      <c r="C5" s="55" t="n">
        <f aca="false">$A5*C$4</f>
        <v>280.5</v>
      </c>
      <c r="D5" s="55" t="n">
        <f aca="false">$A5*D$4</f>
        <v>340</v>
      </c>
    </row>
    <row r="6" customFormat="false" ht="15" hidden="false" customHeight="false" outlineLevel="0" collapsed="false">
      <c r="A6" s="56" t="n">
        <f aca="false">Financials!G16</f>
        <v>10.7787234042553</v>
      </c>
      <c r="B6" s="55" t="n">
        <f aca="false">$A6*B$4</f>
        <v>280.246808510638</v>
      </c>
      <c r="C6" s="57" t="n">
        <f aca="false">$A6*C$4</f>
        <v>355.697872340426</v>
      </c>
      <c r="D6" s="55" t="n">
        <f aca="false">$A6*D$4</f>
        <v>431.148936170213</v>
      </c>
    </row>
    <row r="7" customFormat="false" ht="15" hidden="false" customHeight="false" outlineLevel="0" collapsed="false">
      <c r="A7" s="54" t="n">
        <v>13</v>
      </c>
      <c r="B7" s="55" t="n">
        <f aca="false">$A7*B$4</f>
        <v>338</v>
      </c>
      <c r="C7" s="55" t="n">
        <f aca="false">$A7*C$4</f>
        <v>429</v>
      </c>
      <c r="D7" s="55" t="n">
        <f aca="false">$A7*D$4</f>
        <v>520</v>
      </c>
    </row>
    <row r="9" customFormat="false" ht="15" hidden="false" customHeight="false" outlineLevel="0" collapsed="false">
      <c r="A9" s="5" t="s">
        <v>305</v>
      </c>
      <c r="B9" s="0" t="n">
        <f aca="false">COUNTIF(B5:D7,"&gt;"&amp;Assumptions!$B$7)</f>
        <v>6</v>
      </c>
      <c r="C9" s="0" t="s">
        <v>306</v>
      </c>
    </row>
    <row r="10" customFormat="false" ht="15" hidden="false" customHeight="false" outlineLevel="0" collapsed="false">
      <c r="A10" s="5" t="s">
        <v>307</v>
      </c>
      <c r="B10" s="0" t="n">
        <f aca="false">COUNTIF(B5:D7,"&gt;"&amp;Assumptions!$B$7*1.15)</f>
        <v>6</v>
      </c>
      <c r="C10" s="0" t="s">
        <v>306</v>
      </c>
    </row>
    <row r="12" customFormat="false" ht="15" hidden="false" customHeight="false" outlineLevel="0" collapsed="false">
      <c r="A12" s="12" t="s">
        <v>308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309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310</v>
      </c>
      <c r="B4" s="4" t="s">
        <v>311</v>
      </c>
      <c r="C4" s="4" t="s">
        <v>312</v>
      </c>
      <c r="D4" s="4" t="s">
        <v>313</v>
      </c>
    </row>
    <row r="5" customFormat="false" ht="15" hidden="false" customHeight="false" outlineLevel="0" collapsed="false">
      <c r="A5" s="5" t="s">
        <v>314</v>
      </c>
      <c r="B5" s="0" t="s">
        <v>315</v>
      </c>
      <c r="C5" s="58" t="n">
        <f aca="false">Assumptions!$B$26</f>
        <v>50.43</v>
      </c>
      <c r="D5" s="7" t="s">
        <v>316</v>
      </c>
    </row>
    <row r="6" customFormat="false" ht="15" hidden="false" customHeight="false" outlineLevel="0" collapsed="false">
      <c r="A6" s="25" t="s">
        <v>317</v>
      </c>
      <c r="B6" s="0" t="s">
        <v>318</v>
      </c>
      <c r="C6" s="59" t="n">
        <v>69.94</v>
      </c>
      <c r="D6" s="7" t="s">
        <v>319</v>
      </c>
    </row>
    <row r="7" customFormat="false" ht="15" hidden="false" customHeight="false" outlineLevel="0" collapsed="false">
      <c r="A7" s="25" t="s">
        <v>320</v>
      </c>
      <c r="B7" s="0" t="s">
        <v>321</v>
      </c>
      <c r="C7" s="59" t="n">
        <v>51.47</v>
      </c>
      <c r="D7" s="7" t="s">
        <v>322</v>
      </c>
    </row>
    <row r="8" customFormat="false" ht="15" hidden="false" customHeight="false" outlineLevel="0" collapsed="false">
      <c r="A8" s="25" t="s">
        <v>323</v>
      </c>
      <c r="B8" s="0" t="s">
        <v>324</v>
      </c>
      <c r="C8" s="59" t="n">
        <v>35.99</v>
      </c>
      <c r="D8" s="7" t="s">
        <v>325</v>
      </c>
    </row>
    <row r="9" customFormat="false" ht="15" hidden="false" customHeight="false" outlineLevel="0" collapsed="false">
      <c r="A9" s="25" t="s">
        <v>326</v>
      </c>
      <c r="B9" s="0" t="s">
        <v>327</v>
      </c>
      <c r="C9" s="59" t="n">
        <v>30.78</v>
      </c>
      <c r="D9" s="7" t="s">
        <v>328</v>
      </c>
    </row>
    <row r="10" customFormat="false" ht="15" hidden="false" customHeight="false" outlineLevel="0" collapsed="false">
      <c r="A10" s="25" t="s">
        <v>329</v>
      </c>
      <c r="B10" s="0" t="s">
        <v>330</v>
      </c>
      <c r="C10" s="59" t="n">
        <v>20.92</v>
      </c>
      <c r="D10" s="7" t="s">
        <v>331</v>
      </c>
    </row>
    <row r="11" customFormat="false" ht="15" hidden="false" customHeight="false" outlineLevel="0" collapsed="false">
      <c r="A11" s="25" t="s">
        <v>332</v>
      </c>
      <c r="B11" s="0" t="s">
        <v>333</v>
      </c>
      <c r="C11" s="59" t="n">
        <v>19.75</v>
      </c>
      <c r="D11" s="7" t="s">
        <v>334</v>
      </c>
    </row>
    <row r="13" customFormat="false" ht="15" hidden="false" customHeight="false" outlineLevel="0" collapsed="false">
      <c r="A13" s="0" t="s">
        <v>335</v>
      </c>
      <c r="C13" s="50" t="n">
        <f aca="false">MEDIAN(C6:C11)</f>
        <v>33.385</v>
      </c>
    </row>
    <row r="15" customFormat="false" ht="15" hidden="false" customHeight="false" outlineLevel="0" collapsed="false">
      <c r="A15" s="12" t="s">
        <v>336</v>
      </c>
    </row>
    <row r="16" customFormat="false" ht="15" hidden="false" customHeight="false" outlineLevel="0" collapsed="false">
      <c r="A16" s="12" t="s">
        <v>337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338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339</v>
      </c>
      <c r="B4" s="4" t="s">
        <v>340</v>
      </c>
    </row>
    <row r="5" customFormat="false" ht="23.85" hidden="false" customHeight="false" outlineLevel="0" collapsed="false">
      <c r="A5" s="0" t="n">
        <v>1</v>
      </c>
      <c r="B5" s="7" t="s">
        <v>341</v>
      </c>
    </row>
    <row r="6" customFormat="false" ht="35.05" hidden="false" customHeight="false" outlineLevel="0" collapsed="false">
      <c r="A6" s="0" t="n">
        <v>2</v>
      </c>
      <c r="B6" s="7" t="s">
        <v>342</v>
      </c>
    </row>
    <row r="7" customFormat="false" ht="23.85" hidden="false" customHeight="false" outlineLevel="0" collapsed="false">
      <c r="A7" s="0" t="n">
        <v>3</v>
      </c>
      <c r="B7" s="7" t="s">
        <v>343</v>
      </c>
    </row>
    <row r="8" customFormat="false" ht="23.85" hidden="false" customHeight="false" outlineLevel="0" collapsed="false">
      <c r="A8" s="0" t="n">
        <v>4</v>
      </c>
      <c r="B8" s="7" t="s">
        <v>344</v>
      </c>
    </row>
    <row r="9" customFormat="false" ht="35.05" hidden="false" customHeight="false" outlineLevel="0" collapsed="false">
      <c r="A9" s="0" t="n">
        <v>5</v>
      </c>
      <c r="B9" s="7" t="s">
        <v>345</v>
      </c>
    </row>
    <row r="10" customFormat="false" ht="35.05" hidden="false" customHeight="false" outlineLevel="0" collapsed="false">
      <c r="A10" s="0" t="n">
        <v>6</v>
      </c>
      <c r="B10" s="7" t="s">
        <v>346</v>
      </c>
    </row>
    <row r="11" customFormat="false" ht="23.85" hidden="false" customHeight="false" outlineLevel="0" collapsed="false">
      <c r="A11" s="0" t="n">
        <v>7</v>
      </c>
      <c r="B11" s="7" t="s">
        <v>347</v>
      </c>
    </row>
    <row r="12" customFormat="false" ht="23.85" hidden="false" customHeight="false" outlineLevel="0" collapsed="false">
      <c r="A12" s="0" t="n">
        <v>8</v>
      </c>
      <c r="B12" s="7" t="s">
        <v>348</v>
      </c>
    </row>
    <row r="13" customFormat="false" ht="23.85" hidden="false" customHeight="false" outlineLevel="0" collapsed="false">
      <c r="A13" s="0" t="n">
        <v>9</v>
      </c>
      <c r="B13" s="7" t="s">
        <v>349</v>
      </c>
    </row>
    <row r="14" customFormat="false" ht="15" hidden="false" customHeight="false" outlineLevel="0" collapsed="false">
      <c r="A14" s="0" t="n">
        <v>10</v>
      </c>
      <c r="B14" s="7" t="s">
        <v>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2026-10-08T05:51:24Z</dcterms:created>
  <dc:creator>openpyxl</dc:creator>
  <dc:description/>
  <dc:language>en-GB</dc:language>
  <cp:lastModifiedBy/>
  <dcterms:modified xsi:type="dcterms:W3CDTF">2026-10-08T05:51:24Z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