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Quarterly" sheetId="3" state="visible" r:id="rId5"/>
    <sheet name="Financials" sheetId="4" state="visible" r:id="rId6"/>
    <sheet name="PTC" sheetId="5" state="visible" r:id="rId7"/>
    <sheet name="Scenarios" sheetId="6" state="visible" r:id="rId8"/>
    <sheet name="Valuation" sheetId="7" state="visible" r:id="rId9"/>
    <sheet name="Sensitivity" sheetId="8" state="visible" r:id="rId10"/>
    <sheet name="Peers" sheetId="9" state="visible" r:id="rId11"/>
    <sheet name="Sourc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<sst xmlns="http://schemas.openxmlformats.org/spreadsheetml/2006/main" count="462" uniqueCount="363">
  <si>
    <t xml:space="preserve">SCHNEIDER ELECTRIC SE (EURONEXT PARIS: SU)  INITIATION MODEL</t>
  </si>
  <si>
    <t xml:space="preserve">Tommy Lau | Schneider Electric SE (Euronext Paris: SU) | 7 October 2026 | EUR million unless stated | Personal research, not investment advice.</t>
  </si>
  <si>
    <t xml:space="preserve">Item</t>
  </si>
  <si>
    <t xml:space="preserve">Value</t>
  </si>
  <si>
    <t xml:space="preserve">Note</t>
  </si>
  <si>
    <t xml:space="preserve">Call</t>
  </si>
  <si>
    <t xml:space="preserve">Tommy Lau's call.</t>
  </si>
  <si>
    <t xml:space="preserve">Target, EUR</t>
  </si>
  <si>
    <t xml:space="preserve">None for no call.</t>
  </si>
  <si>
    <t xml:space="preserve">Conviction</t>
  </si>
  <si>
    <t xml:space="preserve">Medium</t>
  </si>
  <si>
    <t xml:space="preserve">Judgement, not formula.</t>
  </si>
  <si>
    <t xml:space="preserve">Reference price, EUR</t>
  </si>
  <si>
    <t xml:space="preserve">Euronext Paris close, 6 October 2026.</t>
  </si>
  <si>
    <t xml:space="preserve">Base value with PTC, EUR</t>
  </si>
  <si>
    <t xml:space="preserve">22x 2028E adjusted EPS with PTC.</t>
  </si>
  <si>
    <t xml:space="preserve">Base value against the price</t>
  </si>
  <si>
    <t xml:space="preserve">Base value without PTC, EUR</t>
  </si>
  <si>
    <t xml:space="preserve">Probability-weighted value, EUR</t>
  </si>
  <si>
    <t xml:space="preserve">25 / 50 / 25 bear / base / bull.</t>
  </si>
  <si>
    <t xml:space="preserve">2026E / 2027E / 2028E EPS (with PTC), EUR</t>
  </si>
  <si>
    <t xml:space="preserve">Own estimates, Schneider's adjusted definition.</t>
  </si>
  <si>
    <t xml:space="preserve">Horizon</t>
  </si>
  <si>
    <t xml:space="preserve">12 months, to October 2027</t>
  </si>
  <si>
    <t xml:space="preserve">Tabs</t>
  </si>
  <si>
    <t xml:space="preserve">Assumptions</t>
  </si>
  <si>
    <t xml:space="preserve">Every input, with its source. Change the yellow cells to move the value.</t>
  </si>
  <si>
    <t xml:space="preserve">Quarterly</t>
  </si>
  <si>
    <t xml:space="preserve">Revenue by business model, Q2 2025 to Q2 2026, and the claim's tests.</t>
  </si>
  <si>
    <t xml:space="preserve">Financials</t>
  </si>
  <si>
    <t xml:space="preserve">2024A to 2028E, standalone and with PTC: revenue, adjusted EBITA, adjusted net income, EPS, P/E, consensus.</t>
  </si>
  <si>
    <t xml:space="preserve">PTC</t>
  </si>
  <si>
    <t xml:space="preserve">Financing, 2028 earnings effect, accretion on both definitions, net debt and leverage at closing.</t>
  </si>
  <si>
    <t xml:space="preserve">Scenarios</t>
  </si>
  <si>
    <t xml:space="preserve">Bear / base / bull and the price-implied case; probability-weighted value.</t>
  </si>
  <si>
    <t xml:space="preserve">Valuation</t>
  </si>
  <si>
    <t xml:space="preserve">Base value, the band, market value lost, multiples.</t>
  </si>
  <si>
    <t xml:space="preserve">Sensitivity</t>
  </si>
  <si>
    <t xml:space="preserve">2028 margin against the P/E.</t>
  </si>
  <si>
    <t xml:space="preserve">Peers</t>
  </si>
  <si>
    <t xml:space="preserve">P/E on 2026 consensus for five peers.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</si>
  <si>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</si>
  <si>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</si>
  <si>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</si>
  <si>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2026-10-07_SchneiderElectric_Initiation.pdf.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</si>
  <si>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</si>
  <si>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EUR million unless stated; per-share figures in EUR; shares in millions.</t>
  </si>
  <si>
    <t xml:space="preserve">Input</t>
  </si>
  <si>
    <t xml:space="preserve">Unit</t>
  </si>
  <si>
    <t xml:space="preserve">Source / note</t>
  </si>
  <si>
    <t xml:space="preserve">MARKET (retrieved 7 October 2026)</t>
  </si>
  <si>
    <t xml:space="preserve">Share price (Euronext Paris: SU)</t>
  </si>
  <si>
    <t xml:space="preserve">EUR</t>
  </si>
  <si>
    <t xml:space="preserve">Close on 2 October 2026, before the PTC announcement</t>
  </si>
  <si>
    <t xml:space="preserve">Euronext Paris.</t>
  </si>
  <si>
    <t xml:space="preserve">Highest close of the past year (12 August 2026)</t>
  </si>
  <si>
    <t xml:space="preserve">Euronext Paris; intraday high EUR 312.30 on 13 August.</t>
  </si>
  <si>
    <t xml:space="preserve">Close, 31 December 2025</t>
  </si>
  <si>
    <t xml:space="preserve">Legrand close, 2 October 2026</t>
  </si>
  <si>
    <t xml:space="preserve">Euronext Paris; control for the sector move.</t>
  </si>
  <si>
    <t xml:space="preserve">Legrand close, 6 October 2026</t>
  </si>
  <si>
    <t xml:space="preserve">Shares outstanding</t>
  </si>
  <si>
    <t xml:space="preserve">m</t>
  </si>
  <si>
    <t xml:space="preserve">stockanalysis.com, 7 October 2026.</t>
  </si>
  <si>
    <t xml:space="preserve">2026 consensus adjusted EPS</t>
  </si>
  <si>
    <t xml:space="preserve">stockanalysis.com (S&amp;P Global), updated 25 September 2026, before the deal.</t>
  </si>
  <si>
    <t xml:space="preserve">2027 consensus adjusted EPS</t>
  </si>
  <si>
    <t xml:space="preserve">Same.</t>
  </si>
  <si>
    <t xml:space="preserve">Average analyst target, 21 analysts</t>
  </si>
  <si>
    <t xml:space="preserve">Same; range EUR 262 to 370.</t>
  </si>
  <si>
    <t xml:space="preserve">REPORTED AND GUIDED (Schneider releases)</t>
  </si>
  <si>
    <t xml:space="preserve">Revenue, 2025</t>
  </si>
  <si>
    <t xml:space="preserve">EUR m</t>
  </si>
  <si>
    <t xml:space="preserve">Full Year 2025 Results, 26 February 2026.</t>
  </si>
  <si>
    <t xml:space="preserve">Adjusted EBITA, 2025</t>
  </si>
  <si>
    <t xml:space="preserve">Net debt, 31 December 2025</t>
  </si>
  <si>
    <t xml:space="preserve">Net debt, 30 June 2026</t>
  </si>
  <si>
    <t xml:space="preserve">Half Year 2026 Results, 30 July 2026.</t>
  </si>
  <si>
    <t xml:space="preserve">Currency effect on 2026 revenue</t>
  </si>
  <si>
    <t xml:space="preserve">H1 2026 release: EUR -400m to -500m at current rates; midpoint.</t>
  </si>
  <si>
    <t xml:space="preserve">2026 organic revenue growth guide, low</t>
  </si>
  <si>
    <t xml:space="preserve">%</t>
  </si>
  <si>
    <t xml:space="preserve">H1 2026 release: +10% to +13%.</t>
  </si>
  <si>
    <t xml:space="preserve">2026 organic revenue growth guide, high</t>
  </si>
  <si>
    <t xml:space="preserve">2026 adjusted EBITA margin implied, low</t>
  </si>
  <si>
    <t xml:space="preserve">Same: around 19.4% to 19.7%.</t>
  </si>
  <si>
    <t xml:space="preserve">2026 adjusted EBITA margin implied, high</t>
  </si>
  <si>
    <t xml:space="preserve">PTC enterprise value</t>
  </si>
  <si>
    <t xml:space="preserve">Release of 5 October 2026: US$23.7bn (EUR 21.1bn at 1.1255).</t>
  </si>
  <si>
    <t xml:space="preserve">PTC equity value</t>
  </si>
  <si>
    <t xml:space="preserve">Same: US$22.6bn (EUR 20.1bn).</t>
  </si>
  <si>
    <t xml:space="preserve">EV / 2027E adjusted EBITA paid for PTC</t>
  </si>
  <si>
    <t xml:space="preserve">x</t>
  </si>
  <si>
    <t xml:space="preserve">Same: 21x before synergies, 13x with full run-rate synergies.</t>
  </si>
  <si>
    <t xml:space="preserve">PTC revenue, CY2025</t>
  </si>
  <si>
    <t xml:space="preserve">Same: EUR 2.4bn, about 40% adjusted EBITA margin.</t>
  </si>
  <si>
    <t xml:space="preserve">Total cash consideration</t>
  </si>
  <si>
    <t xml:space="preserve">Same: about EUR 22bn, bridge from Morgan Stanley and Societe Generale.</t>
  </si>
  <si>
    <t xml:space="preserve">New debt to fund PTC</t>
  </si>
  <si>
    <t xml:space="preserve">Same: EUR 16bn to 17bn across several currencies; midpoint.</t>
  </si>
  <si>
    <t xml:space="preserve">Equity raise (accelerated bookbuild)</t>
  </si>
  <si>
    <t xml:space="preserve">Same: about EUR 5bn to 6bn; midpoint. Not launched by 6 October 2026 (AMF filings).</t>
  </si>
  <si>
    <t xml:space="preserve">Cognite, all-cash, agreed 30 June 2026</t>
  </si>
  <si>
    <t xml:space="preserve">H1 2026 release: US$3.1bn at 1.1255.</t>
  </si>
  <si>
    <t xml:space="preserve">AiDASH, c.90% of a US$350m enterprise value</t>
  </si>
  <si>
    <t xml:space="preserve">H1 2026 release, at 1.1255.</t>
  </si>
  <si>
    <t xml:space="preserve">Shelly Group, all-cash offer</t>
  </si>
  <si>
    <t xml:space="preserve">Release of 24 September 2026 (AMF FCECO083243): EUR 1.2bn, EUR 70 a share; closing expected by Q1 2027.</t>
  </si>
  <si>
    <t xml:space="preserve">MY ASSUMPTIONS</t>
  </si>
  <si>
    <t xml:space="preserve">Organic revenue growth, 2026</t>
  </si>
  <si>
    <t xml:space="preserve">MINE. Upper half of the +10% to +13% guide; H1 was +14.0%.</t>
  </si>
  <si>
    <t xml:space="preserve">Adjusted EBITA margin, 2026</t>
  </si>
  <si>
    <t xml:space="preserve">MINE. Inside the guided 19.4% to 19.7%.</t>
  </si>
  <si>
    <t xml:space="preserve">Organic revenue growth, 2027</t>
  </si>
  <si>
    <t xml:space="preserve">MINE. CMD target +7% to +10% a year to 2030; backlog +18% at end 2025.</t>
  </si>
  <si>
    <t xml:space="preserve">Organic revenue growth, 2028</t>
  </si>
  <si>
    <t xml:space="preserve">MINE.</t>
  </si>
  <si>
    <t xml:space="preserve">Adjusted EBITA margin step, 2027</t>
  </si>
  <si>
    <t xml:space="preserve">MINE. CMD: +250bps cumulatively 2026 to 2030.</t>
  </si>
  <si>
    <t xml:space="preserve">Adjusted EBITA margin step, 2028</t>
  </si>
  <si>
    <t xml:space="preserve">Purchase accounting amortisation, 2026</t>
  </si>
  <si>
    <t xml:space="preserve">MINE. H1 2026: EUR 206m.</t>
  </si>
  <si>
    <t xml:space="preserve">Purchase accounting amortisation, 2027</t>
  </si>
  <si>
    <t xml:space="preserve">Purchase accounting amortisation, 2028 (before PTC)</t>
  </si>
  <si>
    <t xml:space="preserve">Net financial expense, 2026</t>
  </si>
  <si>
    <t xml:space="preserve">MINE. H1 2026: EUR 286m.</t>
  </si>
  <si>
    <t xml:space="preserve">Net financial expense, 2027 (before PTC)</t>
  </si>
  <si>
    <t xml:space="preserve">MINE. Includes Cognite's financing.</t>
  </si>
  <si>
    <t xml:space="preserve">Net financial expense, 2028 (before PTC)</t>
  </si>
  <si>
    <t xml:space="preserve">Tax rate on adjusted profit</t>
  </si>
  <si>
    <t xml:space="preserve">Guided 23% to 25% for 2026; MINE for 2027 and 2028.</t>
  </si>
  <si>
    <t xml:space="preserve">Associates and minorities, 2026</t>
  </si>
  <si>
    <t xml:space="preserve">MINE. H1 2026: EUR 40m.</t>
  </si>
  <si>
    <t xml:space="preserve">Associates and minorities, 2027</t>
  </si>
  <si>
    <t xml:space="preserve">Associates and minorities, 2028</t>
  </si>
  <si>
    <t xml:space="preserve">Diluted shares, 2026</t>
  </si>
  <si>
    <t xml:space="preserve">MINE. H1 2026 implied 562.8m.</t>
  </si>
  <si>
    <t xml:space="preserve">Diluted shares, 2027, standalone</t>
  </si>
  <si>
    <t xml:space="preserve">MINE. Buybacks of about EUR 0.6bn a year.</t>
  </si>
  <si>
    <t xml:space="preserve">Diluted shares, 2028, standalone</t>
  </si>
  <si>
    <t xml:space="preserve">P/E on 2028E adjusted EPS, base</t>
  </si>
  <si>
    <t xml:space="preserve">MINE. Today: 21.0x 2027 consensus (24.5x before the deal); peers 25.9x on 2026.</t>
  </si>
  <si>
    <t xml:space="preserve">PTC growth, 2027 to 2028</t>
  </si>
  <si>
    <t xml:space="preserve">Release: revenue and ARR about 10% a year to 2029 (broker consensus).</t>
  </si>
  <si>
    <t xml:space="preserve">Cost synergies in 2028</t>
  </si>
  <si>
    <t xml:space="preserve">MINE. About a third of the EUR 250m expected by year 3.</t>
  </si>
  <si>
    <t xml:space="preserve">Cost of new debt</t>
  </si>
  <si>
    <t xml:space="preserve">MINE. Blended across currencies.</t>
  </si>
  <si>
    <t xml:space="preserve">Placement price of new shares</t>
  </si>
  <si>
    <t xml:space="preserve">MINE. About 4% below the 6 October close.</t>
  </si>
  <si>
    <t xml:space="preserve">Shares still to be bought back in 2026</t>
  </si>
  <si>
    <t xml:space="preserve">MINE. Rest of the EUR 600m programme.</t>
  </si>
  <si>
    <t xml:space="preserve">Buybacks paused in 2027 and 2028</t>
  </si>
  <si>
    <t xml:space="preserve">MINE. Release: pause in 2027 and 2028.</t>
  </si>
  <si>
    <t xml:space="preserve">Annual amortisation of PTC purchase accounting</t>
  </si>
  <si>
    <t xml:space="preserve">MINE. Not disclosed; deducted in Schneider's adjusted EPS.</t>
  </si>
  <si>
    <t xml:space="preserve">Free cash flow, H2 2026</t>
  </si>
  <si>
    <t xml:space="preserve">MINE. H1 2026: EUR 1,631m; FY2025: EUR 4,635m.</t>
  </si>
  <si>
    <t xml:space="preserve">Free cash flow, January to September 2027</t>
  </si>
  <si>
    <t xml:space="preserve">Dividend paid May 2027</t>
  </si>
  <si>
    <t xml:space="preserve">MINE. FY2025 dividend paid in 2026: EUR 2,411m.</t>
  </si>
  <si>
    <t xml:space="preserve">REVENUE BY BUSINESS MODEL, Q2 2025 TO Q2 2026</t>
  </si>
  <si>
    <t xml:space="preserve">EUR million unless stated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</si>
  <si>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</si>
  <si>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</si>
  <si>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</si>
  <si>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</si>
  <si>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</si>
  <si>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Revenue</t>
  </si>
  <si>
    <t xml:space="preserve">Organic growth, group</t>
  </si>
  <si>
    <t xml:space="preserve">Products, share of the quarter</t>
  </si>
  <si>
    <t xml:space="preserve">Products, organic growth</t>
  </si>
  <si>
    <t xml:space="preserve">Systems, share of the quarter</t>
  </si>
  <si>
    <t xml:space="preserve">Systems, organic growth</t>
  </si>
  <si>
    <t xml:space="preserve">Software &amp; Services, share of the quarter</t>
  </si>
  <si>
    <t xml:space="preserve">Software &amp; Services, organic growth</t>
  </si>
  <si>
    <t xml:space="preserve">Checks</t>
  </si>
  <si>
    <t xml:space="preserve">Systems contribution to Q2 2026 organic growth, EUR m (Q2 2025 base x share x growth)</t>
  </si>
  <si>
    <t xml:space="preserve">Products contribution, EUR m</t>
  </si>
  <si>
    <t xml:space="preserve">Software &amp; Services contribution, EUR m</t>
  </si>
  <si>
    <t xml:space="preserve">Systems share of Q2 2026 organic growth</t>
  </si>
  <si>
    <t xml:space="preserve">Systems share of H1 2026 revenue (Q1 and Q2 rounded shares)</t>
  </si>
  <si>
    <t xml:space="preserve">Systems share, FY2024 (FY2024 release)</t>
  </si>
  <si>
    <t xml:space="preserve">Systems share, FY2025 (FY2025 release)</t>
  </si>
  <si>
    <t xml:space="preserve">Source: Schneider Electric releases: H1 2025 (31 July 2025), Q3 2025 revenues (30 October 2025), FY2025 (26 February 2026), Q1 2026 (30 April 2026), H1 2026 (30 July 2026).</t>
  </si>
  <si>
    <t xml:space="preserve">Q4 2025 shares by business model are not disclosed; the FY2025 release gives full-year shares (Products 47%, Systems 34%, Software &amp; Services 19%).</t>
  </si>
  <si>
    <t xml:space="preserve">Shares are rounded to whole per cent in the releases, so the contributions and the H1 share are my approximate arithmetic.</t>
  </si>
  <si>
    <t xml:space="preserve">FINANCIAL SUMMARY AND FORECASTS (EUR million unless stated, Schneider's adjusted measures)</t>
  </si>
  <si>
    <t xml:space="preserve">2024A</t>
  </si>
  <si>
    <t xml:space="preserve">2025A</t>
  </si>
  <si>
    <t xml:space="preserve">2026E*</t>
  </si>
  <si>
    <t xml:space="preserve">2027E*</t>
  </si>
  <si>
    <t xml:space="preserve">2028E*</t>
  </si>
  <si>
    <t xml:space="preserve">2028E* with PTC</t>
  </si>
  <si>
    <t xml:space="preserve">Organic growth</t>
  </si>
  <si>
    <t xml:space="preserve">Adjusted EBITA margin</t>
  </si>
  <si>
    <t xml:space="preserve">Adjusted EBITA</t>
  </si>
  <si>
    <t xml:space="preserve">Purchase accounting amortisation</t>
  </si>
  <si>
    <t xml:space="preserve">Net financial expense</t>
  </si>
  <si>
    <t xml:space="preserve">Tax on adjusted profit</t>
  </si>
  <si>
    <t xml:space="preserve">Associates and minorities</t>
  </si>
  <si>
    <t xml:space="preserve">Adjusted net income</t>
  </si>
  <si>
    <t xml:space="preserve">Diluted shares, m</t>
  </si>
  <si>
    <t xml:space="preserve">Adjusted EPS, EUR</t>
  </si>
  <si>
    <t xml:space="preserve">EPS growth</t>
  </si>
  <si>
    <t xml:space="preserve">P/E at reference price</t>
  </si>
  <si>
    <t xml:space="preserve">Consensus adjusted EPS, EUR</t>
  </si>
  <si>
    <t xml:space="preserve">Mine against consensus</t>
  </si>
  <si>
    <t xml:space="preserve">P/E on consensus</t>
  </si>
  <si>
    <t xml:space="preserve">*2026E to 2028E are my estimates. 2024 and 2025 as reported (FY2024 and FY2025 results); history reconciles to reported adjusted net income of EUR 4,664m and 4,829m.</t>
  </si>
  <si>
    <t xml:space="preserve">Schneider's adjusted net income deducts purchase accounting amortisation, so PTC's purchase accounting reduces it. Management's accretion guide is before that charge.</t>
  </si>
  <si>
    <t xml:space="preserve">Cognite and AiDASH revenue is not modelled (not disclosed); their financing cost is in net financial expense. Consensus from stockanalysis.com, updated 25 September 2026.</t>
  </si>
  <si>
    <t xml:space="preserve">Note check: 2026E EPS 10.25; 2027E 11.69; 2028E standalone 13.17, with PTC 12.66.</t>
  </si>
  <si>
    <t xml:space="preserve">THE PTC DEAL: FINANCING, 2028 EARNINGS EFFECT AND LEVERAGE</t>
  </si>
  <si>
    <t xml:space="preserve">Line</t>
  </si>
  <si>
    <t xml:space="preserve">Working / note</t>
  </si>
  <si>
    <t xml:space="preserve">PTC 2027E adjusted EBITA implied by the price, EUR m</t>
  </si>
  <si>
    <t xml:space="preserve">EUR 21.1bn / 21x.</t>
  </si>
  <si>
    <t xml:space="preserve">PTC net debt (enterprise value less equity value), EUR m</t>
  </si>
  <si>
    <t xml:space="preserve">Not added again: the EUR 22bn cash consideration exceeds the EUR 21.1bn EV, so it covers PTC's debt and costs.</t>
  </si>
  <si>
    <t xml:space="preserve">PTC revenue, 2027E, EUR m</t>
  </si>
  <si>
    <t xml:space="preserve">CY2025 EUR 2.4bn grown about 10% a year.</t>
  </si>
  <si>
    <t xml:space="preserve">PTC revenue, 2028E, EUR m</t>
  </si>
  <si>
    <t xml:space="preserve">Full year of consolidation after closing in Q3 2027.</t>
  </si>
  <si>
    <t xml:space="preserve">PTC 2028E adjusted EBITA before synergies, EUR m</t>
  </si>
  <si>
    <t xml:space="preserve">PTC 2028E adjusted EBITA with synergies, EUR m</t>
  </si>
  <si>
    <t xml:space="preserve">Cost synergies about a third of EUR 250m in year 1.</t>
  </si>
  <si>
    <t xml:space="preserve">New shares from the equity raise, m</t>
  </si>
  <si>
    <t xml:space="preserve">EUR 5.5bn at my EUR 250 placement price.</t>
  </si>
  <si>
    <t xml:space="preserve">Dilution, new shares against shares outstanding</t>
  </si>
  <si>
    <t xml:space="preserve">Extra interest, 2028, EUR m</t>
  </si>
  <si>
    <t xml:space="preserve">New debt, less cash kept by pausing buybacks.</t>
  </si>
  <si>
    <t xml:space="preserve">PTC contribution after interest and tax, before purchase accounting, EUR m</t>
  </si>
  <si>
    <t xml:space="preserve">PTC purchase accounting after tax, EUR m</t>
  </si>
  <si>
    <t xml:space="preserve">My assumption; not disclosed.</t>
  </si>
  <si>
    <t xml:space="preserve">Diluted shares in 2028 with PTC, m</t>
  </si>
  <si>
    <t xml:space="preserve">No buybacks in 2027 and 2028.</t>
  </si>
  <si>
    <t xml:space="preserve">2028E adjusted EPS with PTC against standalone (Schneider's definition)</t>
  </si>
  <si>
    <t xml:space="preserve">After purchase accounting.</t>
  </si>
  <si>
    <t xml:space="preserve">2028E EPS with PTC before purchase accounting, EUR</t>
  </si>
  <si>
    <t xml:space="preserve">2028E standalone EPS before purchase accounting, EUR</t>
  </si>
  <si>
    <t xml:space="preserve">Accretion before purchase accounting (management's measure)</t>
  </si>
  <si>
    <t xml:space="preserve">Management: low single digit in year 1.</t>
  </si>
  <si>
    <t xml:space="preserve">Net debt, end 2026E, EUR m</t>
  </si>
  <si>
    <t xml:space="preserve">Cognite and AiDASH assumed paid by year end.</t>
  </si>
  <si>
    <t xml:space="preserve">Net debt before closing, Q3 2027E, EUR m</t>
  </si>
  <si>
    <t xml:space="preserve">Includes Shelly, expected to close by Q1 2027.</t>
  </si>
  <si>
    <t xml:space="preserve">Net debt at closing, EUR m</t>
  </si>
  <si>
    <t xml:space="preserve">Cash consideration (which covers PTC's net debt) less the equity raise.</t>
  </si>
  <si>
    <t xml:space="preserve">Net debt / adjusted EBITA, end 2025</t>
  </si>
  <si>
    <t xml:space="preserve">My leverage measure.</t>
  </si>
  <si>
    <t xml:space="preserve">Net debt / adjusted EBITA at closing (2027E incl. PTC)</t>
  </si>
  <si>
    <t xml:space="preserve">Source: 'Schneider Electric to acquire PTC', 5 October 2026, and the transaction presentation. All forecasts here are mine.</t>
  </si>
  <si>
    <t xml:space="preserve">THREE CASES, TWELVE MONTHS OUT (P/E ON 2028E ADJUSTED EPS, WITH PTC)</t>
  </si>
  <si>
    <t xml:space="preserve">Case</t>
  </si>
  <si>
    <t xml:space="preserve">Org. 2027</t>
  </si>
  <si>
    <t xml:space="preserve">Org. 2028</t>
  </si>
  <si>
    <t xml:space="preserve">Margin step 27</t>
  </si>
  <si>
    <t xml:space="preserve">Margin step 28</t>
  </si>
  <si>
    <t xml:space="preserve">PTC synergies 28</t>
  </si>
  <si>
    <t xml:space="preserve">P/E</t>
  </si>
  <si>
    <t xml:space="preserve">Revenue 2027</t>
  </si>
  <si>
    <t xml:space="preserve">Margin 2027</t>
  </si>
  <si>
    <t xml:space="preserve">Revenue 2028</t>
  </si>
  <si>
    <t xml:space="preserve">Margin 2028</t>
  </si>
  <si>
    <t xml:space="preserve">EBITA 2028</t>
  </si>
  <si>
    <t xml:space="preserve">Net income 28, standalone</t>
  </si>
  <si>
    <t xml:space="preserve">EPS 28, standalone</t>
  </si>
  <si>
    <t xml:space="preserve">Net income 28, with PTC</t>
  </si>
  <si>
    <t xml:space="preserve">EPS 28, with PTC</t>
  </si>
  <si>
    <t xml:space="preserve">Value, EUR</t>
  </si>
  <si>
    <t xml:space="preserve">vs price</t>
  </si>
  <si>
    <t xml:space="preserve">Value without PTC</t>
  </si>
  <si>
    <t xml:space="preserve">Bear</t>
  </si>
  <si>
    <t xml:space="preserve">Base</t>
  </si>
  <si>
    <t xml:space="preserve">Bull</t>
  </si>
  <si>
    <t xml:space="preserve">Price-implied</t>
  </si>
  <si>
    <t xml:space="preserve">Probability</t>
  </si>
  <si>
    <t xml:space="preserve">must be 100%</t>
  </si>
  <si>
    <t xml:space="preserve">Value = 2028E adjusted EPS with PTC (Schneider's definition, after purchase accounting) x P/E. The last column shows the same case without PTC.</t>
  </si>
  <si>
    <t xml:space="preserve">Bear: data centre orders digest, organic growth 4% and 3%, margin flat at 19.6%, no PTC synergies, 18x. Bull: growth 11% and 10%, margin +80bps a year, 25x.</t>
  </si>
  <si>
    <t xml:space="preserve">Price-implied: the organic growth in 2027 and 2028, at base margins and multiple, that gives today's price (row 8 value equals the price).</t>
  </si>
  <si>
    <t xml:space="preserve">VALUATION: P/E ON 2028E, TWELVE MONTHS OUT</t>
  </si>
  <si>
    <t xml:space="preserve">22x 2028E standalone EPS.</t>
  </si>
  <si>
    <t xml:space="preserve">Cost of the deal per share at the base multiple, EUR</t>
  </si>
  <si>
    <t xml:space="preserve">Value without PTC against the price</t>
  </si>
  <si>
    <t xml:space="preserve">Rule on value alone (long at 15% above, short at 25% below)</t>
  </si>
  <si>
    <t xml:space="preserve">Mechanical, on the base value.</t>
  </si>
  <si>
    <t xml:space="preserve">CALL</t>
  </si>
  <si>
    <t xml:space="preserve">NO CALL</t>
  </si>
  <si>
    <t xml:space="preserve">none</t>
  </si>
  <si>
    <t xml:space="preserve">No target for no call.</t>
  </si>
  <si>
    <t xml:space="preserve">Price at or below which the base is 15% above (points long)</t>
  </si>
  <si>
    <t xml:space="preserve">Price at or above which the base is 25% below (points short)</t>
  </si>
  <si>
    <t xml:space="preserve">Market value, EUR bn</t>
  </si>
  <si>
    <t xml:space="preserve">Market value at the 2 October close, EUR bn</t>
  </si>
  <si>
    <t xml:space="preserve">Market value lost, 2 to 6 October, EUR bn</t>
  </si>
  <si>
    <t xml:space="preserve">Against EUR 21.1bn paid for PTC's enterprise value.</t>
  </si>
  <si>
    <t xml:space="preserve">Share price change, 2 to 6 October</t>
  </si>
  <si>
    <t xml:space="preserve">Legrand share price change, 2 to 6 October</t>
  </si>
  <si>
    <t xml:space="preserve">Control.</t>
  </si>
  <si>
    <t xml:space="preserve">P/E on 2026 consensus</t>
  </si>
  <si>
    <t xml:space="preserve">P/E on 2027 consensus</t>
  </si>
  <si>
    <t xml:space="preserve">P/E on 2027 consensus at the 2 October close</t>
  </si>
  <si>
    <t xml:space="preserve">P/E on my 2028E with PTC</t>
  </si>
  <si>
    <t xml:space="preserve">2028E EPS the price needs at the base multiple, EUR</t>
  </si>
  <si>
    <t xml:space="preserve">Organic growth a year in 2027 and 2028 that gives it</t>
  </si>
  <si>
    <t xml:space="preserve">Scenarios row 8; CMD target 7% to 10%.</t>
  </si>
  <si>
    <t xml:space="preserve">Peer median P/E on 2026 consensus</t>
  </si>
  <si>
    <t xml:space="preserve">My 2026E EPS at the peer median, EUR</t>
  </si>
  <si>
    <t xml:space="preserve">Cross-check.</t>
  </si>
  <si>
    <t xml:space="preserve">Against the highest close (12 August 2026)</t>
  </si>
  <si>
    <t xml:space="preserve">Change since 31 December 2025</t>
  </si>
  <si>
    <t xml:space="preserve">VALUE PER SHARE WITH PTC: 2028 ADJUSTED EBITA MARGIN AGAINST THE P/E (EUR)</t>
  </si>
  <si>
    <t xml:space="preserve">2028 margin (standalone) \ P/E</t>
  </si>
  <si>
    <t xml:space="preserve">Cells above the reference price</t>
  </si>
  <si>
    <t xml:space="preserve">of 9</t>
  </si>
  <si>
    <t xml:space="preserve">Cells 15% or more above the price</t>
  </si>
  <si>
    <t xml:space="preserve">Cells 25% or more below the price</t>
  </si>
  <si>
    <t xml:space="preserve">Middle row is my base 2028 standalone margin; revenue and the PTC contribution as in the base case.</t>
  </si>
  <si>
    <t xml:space="preserve">PEER MULTIPLES: P/E ON 2026 CONSENSUS EPS (stockanalysis.com, closes of 6 OCTOBER 2026)</t>
  </si>
  <si>
    <t xml:space="preserve">Company</t>
  </si>
  <si>
    <t xml:space="preserve">Listing</t>
  </si>
  <si>
    <t xml:space="preserve">Price</t>
  </si>
  <si>
    <t xml:space="preserve">2026 EPS</t>
  </si>
  <si>
    <t xml:space="preserve">P/E 2026</t>
  </si>
  <si>
    <t xml:space="preserve">What they make</t>
  </si>
  <si>
    <t xml:space="preserve">Schneider Electric</t>
  </si>
  <si>
    <t xml:space="preserve">Euronext Paris: SU</t>
  </si>
  <si>
    <t xml:space="preserve">Electrical distribution, UPS, prefabricated modules, cooling, automation, software</t>
  </si>
  <si>
    <t xml:space="preserve">Eaton</t>
  </si>
  <si>
    <t xml:space="preserve">NYSE: ETN</t>
  </si>
  <si>
    <t xml:space="preserve">Switchgear, UPS, power distribution, prefabricated electrical rooms (US$)</t>
  </si>
  <si>
    <t xml:space="preserve">Vertiv</t>
  </si>
  <si>
    <t xml:space="preserve">NYSE: VRT</t>
  </si>
  <si>
    <t xml:space="preserve">UPS, switchgear, prefabricated modules, liquid cooling (US$)</t>
  </si>
  <si>
    <t xml:space="preserve">ABB</t>
  </si>
  <si>
    <t xml:space="preserve">SIX: ABBN</t>
  </si>
  <si>
    <t xml:space="preserve">Electrification, motion and automation (CHF)</t>
  </si>
  <si>
    <t xml:space="preserve">Siemens</t>
  </si>
  <si>
    <t xml:space="preserve">Xetra: SIE</t>
  </si>
  <si>
    <t xml:space="preserve">Automation, smart infrastructure, rail (EUR; fiscal year to Sep 2026)</t>
  </si>
  <si>
    <t xml:space="preserve">Legrand</t>
  </si>
  <si>
    <t xml:space="preserve">Euronext Paris: LR</t>
  </si>
  <si>
    <t xml:space="preserve">Low voltage electrical products, data centre white space (EUR)</t>
  </si>
  <si>
    <t xml:space="preserve">Median, five peers</t>
  </si>
  <si>
    <t xml:space="preserve">2026 consensus EPS from stockanalysis.com forecast pages (S&amp;P Global data), updated 25 September to 6 October 2026; prices are 6 October 2026 closes in local currency.</t>
  </si>
  <si>
    <t xml:space="preserve">Siemens' fiscal year ends 30 September. Multiples only, to set the base multiple; no view on the peers' shares is expressed.</t>
  </si>
  <si>
    <t xml:space="preserve">SOURCES</t>
  </si>
  <si>
    <t xml:space="preserve">No.</t>
  </si>
  <si>
    <t xml:space="preserve">Source and what it supports</t>
  </si>
  <si>
    <t xml:space="preserve">Schneider Electric Full Year 2024 Results, 20 February 2025 (AMF FCECO077559): revenue, adjusted EBITA, adjusted EPS, business model shares (Systems 31%).</t>
  </si>
  <si>
    <t xml:space="preserve">Schneider Electric Half Year 2025 Results, 31 July 2025 (AMF FCECO079331): Q2 2025 revenue and business model growth; net capex H1 2025.</t>
  </si>
  <si>
    <t xml:space="preserve">Schneider Electric Third Quarter 2025 Revenues, 30 October 2025 (AMF FCECO080070): Q3 2025 revenue and business model shares and growth.</t>
  </si>
  <si>
    <t xml:space="preserve">Schneider Electric Full Year 2025 Results, release and presentation, 26 February 2026: revenue, adjusted EBITA, adjusted net income bridge, net debt, capex, backlog, Data Center &amp; Networks 30% of orders, 2026 target and 2026 to 2030 targets.</t>
  </si>
  <si>
    <t xml:space="preserve">Schneider Electric announcement of a takeover offer for Shelly Group, 24 September 2026 (AMF FCECO083243): EUR 1.2bn, all cash.</t>
  </si>
  <si>
    <t xml:space="preserve">Schneider Electric Q1 2026 Revenues, 30 April 2026; Half Year 2026 Results, 30 July 2026 (AMF FCECO082813): quarterly revenue and business model, mix effect of EUR -148m, gross margin bridge, net debt, buyback, Cognite and AiDASH, upgraded 2026 target, results date.</t>
  </si>
  <si>
    <t xml:space="preserve">Schneider Electric Capital Markets Day, 11 December 2025: release (targets, buyback, disposals) and LSEG transcript.</t>
  </si>
  <si>
    <t xml:space="preserve">Schneider Electric to acquire PTC, release of 5 October 2026 (AMF FCECO083330; PTC Form 8-K Ex. 99.1) and transaction presentation: price, values, multiples, synergies, financing, accretion guide, ratings, buyback pause, closing, Q3 revenues brought forward to 16 October 2026.</t>
  </si>
  <si>
    <t xml:space="preserve">Euronext Paris historical prices (live.euronext.com), retrieved 7 October 2026: Schneider Electric and Legrand closes. (Yahoo Finance chart API refused requests on 7 October 2026.)</t>
  </si>
  <si>
    <t xml:space="preserve">stockanalysis.com, retrieved 7 October 2026: Schneider consensus EPS and average target (updated 25 September 2026), shares outstanding; peers' 2026 consensus EPS and prices.</t>
  </si>
  <si>
    <t xml:space="preserve">The Physical Layer, 'Schneider Electric sells AI data centres the finished system, not the parts', 7 October 2026: https://thephysicallayer.fyi/journal/schneider-sells-the-finished-system/</t>
  </si>
  <si>
    <t xml:space="preserve">Estimates for 2026 to 2028, the PTC effect and the valuation are the author's own. Personal research, not investment advice. I hold no position in Schneider Electric.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</si>
</sst>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&quot;EUR &quot;#,##0.00"/>
    <numFmt numFmtId="166" formatCode="0.0%"/>
    <numFmt numFmtId="167" formatCode="#,##0.00"/>
    <numFmt numFmtId="168" formatCode="#,##0.0"/>
    <numFmt numFmtId="169" formatCode="0\x"/>
    <numFmt numFmtId="170" formatCode="#,##0"/>
    <numFmt numFmtId="171" formatCode="0%"/>
    <numFmt numFmtId="172" formatCode="0.00%"/>
    <numFmt numFmtId="173" formatCode="0.0\x"/>
    <numFmt numFmtId="174" formatCode="&quot;EUR &quot;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3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Valuation!$B$13</f>
        <v>NO CALL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str">
        <f aca="false">Valuation!$B$14</f>
        <v>none</v>
      </c>
      <c r="C6" s="7" t="s">
        <v>8</v>
      </c>
    </row>
    <row r="7" customFormat="false" ht="15" hidden="false" customHeight="false" outlineLevel="0" collapsed="false">
      <c r="A7" s="5" t="s">
        <v>9</v>
      </c>
      <c r="B7" s="9" t="s">
        <v>10</v>
      </c>
      <c r="C7" s="7" t="s">
        <v>11</v>
      </c>
    </row>
    <row r="8" customFormat="false" ht="15" hidden="false" customHeight="false" outlineLevel="0" collapsed="false">
      <c r="A8" s="5" t="s">
        <v>12</v>
      </c>
      <c r="B8" s="8" t="n">
        <f aca="false">Assumptions!$B$7</f>
        <v>260.5</v>
      </c>
      <c r="C8" s="7" t="s">
        <v>13</v>
      </c>
    </row>
    <row r="9" customFormat="false" ht="15" hidden="false" customHeight="false" outlineLevel="0" collapsed="false">
      <c r="A9" s="5" t="s">
        <v>14</v>
      </c>
      <c r="B9" s="8" t="n">
        <f aca="false">Valuation!$B$5</f>
        <v>278.438859967204</v>
      </c>
      <c r="C9" s="7" t="s">
        <v>15</v>
      </c>
    </row>
    <row r="10" customFormat="false" ht="15" hidden="false" customHeight="false" outlineLevel="0" collapsed="false">
      <c r="A10" s="5" t="s">
        <v>16</v>
      </c>
      <c r="B10" s="10" t="n">
        <f aca="false">Valuation!$B$9</f>
        <v>0.0688631860545241</v>
      </c>
      <c r="C10" s="7"/>
    </row>
    <row r="11" customFormat="false" ht="15" hidden="false" customHeight="false" outlineLevel="0" collapsed="false">
      <c r="A11" s="5" t="s">
        <v>17</v>
      </c>
      <c r="B11" s="8" t="n">
        <f aca="false">Valuation!$B$6</f>
        <v>289.716692427851</v>
      </c>
      <c r="C11" s="7"/>
    </row>
    <row r="12" customFormat="false" ht="15" hidden="false" customHeight="false" outlineLevel="0" collapsed="false">
      <c r="A12" s="5" t="s">
        <v>18</v>
      </c>
      <c r="B12" s="8" t="n">
        <f aca="false">Valuation!$B$11</f>
        <v>272.157438074514</v>
      </c>
      <c r="C12" s="7" t="s">
        <v>19</v>
      </c>
    </row>
    <row r="13" customFormat="false" ht="15" hidden="false" customHeight="false" outlineLevel="0" collapsed="false">
      <c r="A13" s="5" t="s">
        <v>20</v>
      </c>
      <c r="B13" s="6" t="str">
        <f aca="false">TEXT(Financials!D15,"0.00")&amp;" / "&amp;TEXT(Financials!E15,"0.00")&amp;" / "&amp;TEXT(Financials!G15,"0.00")</f>
        <v>10.25 / 11.69 / 12.66</v>
      </c>
      <c r="C13" s="7" t="s">
        <v>21</v>
      </c>
    </row>
    <row r="14" customFormat="false" ht="15" hidden="false" customHeight="false" outlineLevel="0" collapsed="false">
      <c r="A14" s="5" t="s">
        <v>22</v>
      </c>
      <c r="B14" s="9" t="s">
        <v>23</v>
      </c>
      <c r="C14" s="7"/>
    </row>
    <row r="17" customFormat="false" ht="15" hidden="false" customHeight="false" outlineLevel="0" collapsed="false">
      <c r="A17" s="11" t="s">
        <v>24</v>
      </c>
    </row>
    <row r="18" customFormat="false" ht="15" hidden="false" customHeight="false" outlineLevel="0" collapsed="false">
      <c r="A18" s="0" t="s">
        <v>25</v>
      </c>
      <c r="B18" s="0" t="s">
        <v>26</v>
      </c>
    </row>
    <row r="19" customFormat="false" ht="15" hidden="false" customHeight="false" outlineLevel="0" collapsed="false">
      <c r="A19" s="0" t="s">
        <v>27</v>
      </c>
      <c r="B19" s="0" t="s">
        <v>28</v>
      </c>
    </row>
    <row r="20" customFormat="false" ht="15" hidden="false" customHeight="false" outlineLevel="0" collapsed="false">
      <c r="A20" s="0" t="s">
        <v>29</v>
      </c>
      <c r="B20" s="0" t="s">
        <v>30</v>
      </c>
    </row>
    <row r="21" customFormat="false" ht="15" hidden="false" customHeight="false" outlineLevel="0" collapsed="false">
      <c r="A21" s="0" t="s">
        <v>31</v>
      </c>
      <c r="B21" s="0" t="s">
        <v>32</v>
      </c>
    </row>
    <row r="22" customFormat="false" ht="15" hidden="false" customHeight="false" outlineLevel="0" collapsed="false">
      <c r="A22" s="0" t="s">
        <v>33</v>
      </c>
      <c r="B22" s="0" t="s">
        <v>34</v>
      </c>
    </row>
    <row r="23" customFormat="false" ht="15" hidden="false" customHeight="false" outlineLevel="0" collapsed="false">
      <c r="A23" s="0" t="s">
        <v>35</v>
      </c>
      <c r="B23" s="0" t="s">
        <v>36</v>
      </c>
    </row>
    <row r="24" customFormat="false" ht="15" hidden="false" customHeight="false" outlineLevel="0" collapsed="false">
      <c r="A24" s="0" t="s">
        <v>37</v>
      </c>
      <c r="B24" s="0" t="s">
        <v>38</v>
      </c>
    </row>
    <row r="25" customFormat="false" ht="15" hidden="false" customHeight="false" outlineLevel="0" collapsed="false">
      <c r="A25" s="0" t="s">
        <v>39</v>
      </c>
      <c r="B25" s="0" t="s">
        <v>40</v>
      </c>
    </row>
    <row r="26" customFormat="false" ht="15" hidden="false" customHeight="false" outlineLevel="0" collapsed="false">
      <c r="A26" s="0" t="s">
        <v>41</v>
      </c>
      <c r="B26" s="0" t="s">
        <v>42</v>
      </c>
    </row>
    <row r="29" customFormat="false" ht="15" hidden="false" customHeight="false" outlineLevel="0" collapsed="false">
      <c r="A29" s="12" t="s">
        <v>43</v>
      </c>
    </row>
    <row r="30" customFormat="false" ht="15" hidden="false" customHeight="false" outlineLevel="0" collapsed="false">
      <c r="A30" s="1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96"/>
  </cols>
  <sheetData>
    <row r="1" customFormat="false" ht="15" hidden="false" customHeight="false" outlineLevel="0" collapsed="false">
      <c r="A1" s="1" t="s">
        <v>45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46</v>
      </c>
    </row>
    <row r="5" customFormat="false" ht="15" hidden="false" customHeight="false" outlineLevel="0" collapsed="false">
      <c r="A5" s="3" t="s">
        <v>47</v>
      </c>
      <c r="B5" s="4" t="s">
        <v>3</v>
      </c>
      <c r="C5" s="4" t="s">
        <v>48</v>
      </c>
      <c r="D5" s="4" t="s">
        <v>49</v>
      </c>
    </row>
    <row r="6" customFormat="false" ht="15" hidden="false" customHeight="false" outlineLevel="0" collapsed="false">
      <c r="A6" s="11" t="s">
        <v>50</v>
      </c>
    </row>
    <row r="7" customFormat="false" ht="15" hidden="false" customHeight="false" outlineLevel="0" collapsed="false">
      <c r="A7" s="0" t="s">
        <v>51</v>
      </c>
      <c r="B7" s="13" t="n">
        <v>260.5</v>
      </c>
      <c r="C7" s="0" t="s">
        <v>52</v>
      </c>
      <c r="D7" s="7" t="s">
        <v>13</v>
      </c>
    </row>
    <row r="8" customFormat="false" ht="15" hidden="false" customHeight="false" outlineLevel="0" collapsed="false">
      <c r="A8" s="0" t="s">
        <v>53</v>
      </c>
      <c r="B8" s="13" t="n">
        <v>303</v>
      </c>
      <c r="C8" s="0" t="s">
        <v>52</v>
      </c>
      <c r="D8" s="7" t="s">
        <v>54</v>
      </c>
    </row>
    <row r="9" customFormat="false" ht="15" hidden="false" customHeight="false" outlineLevel="0" collapsed="false">
      <c r="A9" s="0" t="s">
        <v>55</v>
      </c>
      <c r="B9" s="13" t="n">
        <v>311</v>
      </c>
      <c r="C9" s="0" t="s">
        <v>52</v>
      </c>
      <c r="D9" s="7" t="s">
        <v>56</v>
      </c>
    </row>
    <row r="10" customFormat="false" ht="15" hidden="false" customHeight="false" outlineLevel="0" collapsed="false">
      <c r="A10" s="0" t="s">
        <v>57</v>
      </c>
      <c r="B10" s="13" t="n">
        <v>234.9</v>
      </c>
      <c r="C10" s="0" t="s">
        <v>52</v>
      </c>
      <c r="D10" s="7" t="s">
        <v>54</v>
      </c>
    </row>
    <row r="11" customFormat="false" ht="15" hidden="false" customHeight="false" outlineLevel="0" collapsed="false">
      <c r="A11" s="0" t="s">
        <v>58</v>
      </c>
      <c r="B11" s="13" t="n">
        <v>144.55</v>
      </c>
      <c r="C11" s="0" t="s">
        <v>52</v>
      </c>
      <c r="D11" s="7" t="s">
        <v>59</v>
      </c>
    </row>
    <row r="12" customFormat="false" ht="15" hidden="false" customHeight="false" outlineLevel="0" collapsed="false">
      <c r="A12" s="0" t="s">
        <v>60</v>
      </c>
      <c r="B12" s="13" t="n">
        <v>148.4</v>
      </c>
      <c r="C12" s="0" t="s">
        <v>52</v>
      </c>
      <c r="D12" s="7" t="s">
        <v>54</v>
      </c>
    </row>
    <row r="13" customFormat="false" ht="15" hidden="false" customHeight="false" outlineLevel="0" collapsed="false">
      <c r="A13" s="0" t="s">
        <v>61</v>
      </c>
      <c r="B13" s="14" t="n">
        <v>563.54</v>
      </c>
      <c r="C13" s="0" t="s">
        <v>62</v>
      </c>
      <c r="D13" s="7" t="s">
        <v>63</v>
      </c>
    </row>
    <row r="14" customFormat="false" ht="15" hidden="false" customHeight="false" outlineLevel="0" collapsed="false">
      <c r="A14" s="0" t="s">
        <v>64</v>
      </c>
      <c r="B14" s="13" t="n">
        <v>10.41</v>
      </c>
      <c r="C14" s="0" t="s">
        <v>52</v>
      </c>
      <c r="D14" s="7" t="s">
        <v>65</v>
      </c>
    </row>
    <row r="15" customFormat="false" ht="15" hidden="false" customHeight="false" outlineLevel="0" collapsed="false">
      <c r="A15" s="0" t="s">
        <v>66</v>
      </c>
      <c r="B15" s="13" t="n">
        <v>12.38</v>
      </c>
      <c r="C15" s="0" t="s">
        <v>52</v>
      </c>
      <c r="D15" s="7" t="s">
        <v>67</v>
      </c>
    </row>
    <row r="16" customFormat="false" ht="15" hidden="false" customHeight="false" outlineLevel="0" collapsed="false">
      <c r="A16" s="0" t="s">
        <v>68</v>
      </c>
      <c r="B16" s="13" t="n">
        <v>327.49</v>
      </c>
      <c r="C16" s="0" t="s">
        <v>52</v>
      </c>
      <c r="D16" s="7" t="s">
        <v>69</v>
      </c>
    </row>
    <row r="17" customFormat="false" ht="15" hidden="false" customHeight="false" outlineLevel="0" collapsed="false">
      <c r="A17" s="11" t="s">
        <v>70</v>
      </c>
    </row>
    <row r="18" customFormat="false" ht="15" hidden="false" customHeight="false" outlineLevel="0" collapsed="false">
      <c r="A18" s="0" t="s">
        <v>71</v>
      </c>
      <c r="B18" s="14" t="n">
        <v>40152</v>
      </c>
      <c r="C18" s="0" t="s">
        <v>72</v>
      </c>
      <c r="D18" s="7" t="s">
        <v>73</v>
      </c>
    </row>
    <row r="19" customFormat="false" ht="15" hidden="false" customHeight="false" outlineLevel="0" collapsed="false">
      <c r="A19" s="0" t="s">
        <v>74</v>
      </c>
      <c r="B19" s="14" t="n">
        <v>7520</v>
      </c>
      <c r="C19" s="0" t="s">
        <v>72</v>
      </c>
      <c r="D19" s="7" t="s">
        <v>67</v>
      </c>
    </row>
    <row r="20" customFormat="false" ht="15" hidden="false" customHeight="false" outlineLevel="0" collapsed="false">
      <c r="A20" s="0" t="s">
        <v>75</v>
      </c>
      <c r="B20" s="14" t="n">
        <v>13721</v>
      </c>
      <c r="C20" s="0" t="s">
        <v>72</v>
      </c>
      <c r="D20" s="7" t="s">
        <v>67</v>
      </c>
    </row>
    <row r="21" customFormat="false" ht="15" hidden="false" customHeight="false" outlineLevel="0" collapsed="false">
      <c r="A21" s="0" t="s">
        <v>76</v>
      </c>
      <c r="B21" s="14" t="n">
        <v>15360</v>
      </c>
      <c r="C21" s="0" t="s">
        <v>72</v>
      </c>
      <c r="D21" s="7" t="s">
        <v>77</v>
      </c>
    </row>
    <row r="22" customFormat="false" ht="15" hidden="false" customHeight="false" outlineLevel="0" collapsed="false">
      <c r="A22" s="0" t="s">
        <v>78</v>
      </c>
      <c r="B22" s="14" t="n">
        <v>-450</v>
      </c>
      <c r="C22" s="0" t="s">
        <v>72</v>
      </c>
      <c r="D22" s="7" t="s">
        <v>79</v>
      </c>
    </row>
    <row r="23" customFormat="false" ht="15" hidden="false" customHeight="false" outlineLevel="0" collapsed="false">
      <c r="A23" s="0" t="s">
        <v>80</v>
      </c>
      <c r="B23" s="15" t="n">
        <v>0.1</v>
      </c>
      <c r="C23" s="0" t="s">
        <v>81</v>
      </c>
      <c r="D23" s="7" t="s">
        <v>82</v>
      </c>
    </row>
    <row r="24" customFormat="false" ht="15" hidden="false" customHeight="false" outlineLevel="0" collapsed="false">
      <c r="A24" s="0" t="s">
        <v>83</v>
      </c>
      <c r="B24" s="15" t="n">
        <v>0.13</v>
      </c>
      <c r="C24" s="0" t="s">
        <v>81</v>
      </c>
      <c r="D24" s="7" t="s">
        <v>67</v>
      </c>
    </row>
    <row r="25" customFormat="false" ht="15" hidden="false" customHeight="false" outlineLevel="0" collapsed="false">
      <c r="A25" s="0" t="s">
        <v>84</v>
      </c>
      <c r="B25" s="15" t="n">
        <v>0.194</v>
      </c>
      <c r="C25" s="0" t="s">
        <v>81</v>
      </c>
      <c r="D25" s="7" t="s">
        <v>85</v>
      </c>
    </row>
    <row r="26" customFormat="false" ht="15" hidden="false" customHeight="false" outlineLevel="0" collapsed="false">
      <c r="A26" s="0" t="s">
        <v>86</v>
      </c>
      <c r="B26" s="15" t="n">
        <v>0.197</v>
      </c>
      <c r="C26" s="0" t="s">
        <v>81</v>
      </c>
      <c r="D26" s="7" t="s">
        <v>67</v>
      </c>
    </row>
    <row r="27" customFormat="false" ht="15" hidden="false" customHeight="false" outlineLevel="0" collapsed="false">
      <c r="A27" s="0" t="s">
        <v>87</v>
      </c>
      <c r="B27" s="14" t="n">
        <v>21100</v>
      </c>
      <c r="C27" s="0" t="s">
        <v>72</v>
      </c>
      <c r="D27" s="7" t="s">
        <v>88</v>
      </c>
    </row>
    <row r="28" customFormat="false" ht="15" hidden="false" customHeight="false" outlineLevel="0" collapsed="false">
      <c r="A28" s="0" t="s">
        <v>89</v>
      </c>
      <c r="B28" s="14" t="n">
        <v>20100</v>
      </c>
      <c r="C28" s="0" t="s">
        <v>72</v>
      </c>
      <c r="D28" s="7" t="s">
        <v>90</v>
      </c>
    </row>
    <row r="29" customFormat="false" ht="15" hidden="false" customHeight="false" outlineLevel="0" collapsed="false">
      <c r="A29" s="0" t="s">
        <v>91</v>
      </c>
      <c r="B29" s="16" t="n">
        <v>21</v>
      </c>
      <c r="C29" s="0" t="s">
        <v>92</v>
      </c>
      <c r="D29" s="7" t="s">
        <v>93</v>
      </c>
    </row>
    <row r="30" customFormat="false" ht="15" hidden="false" customHeight="false" outlineLevel="0" collapsed="false">
      <c r="A30" s="0" t="s">
        <v>94</v>
      </c>
      <c r="B30" s="14" t="n">
        <v>2400</v>
      </c>
      <c r="C30" s="0" t="s">
        <v>72</v>
      </c>
      <c r="D30" s="7" t="s">
        <v>95</v>
      </c>
    </row>
    <row r="31" customFormat="false" ht="15" hidden="false" customHeight="false" outlineLevel="0" collapsed="false">
      <c r="A31" s="0" t="s">
        <v>96</v>
      </c>
      <c r="B31" s="14" t="n">
        <v>22000</v>
      </c>
      <c r="C31" s="0" t="s">
        <v>72</v>
      </c>
      <c r="D31" s="7" t="s">
        <v>97</v>
      </c>
    </row>
    <row r="32" customFormat="false" ht="15" hidden="false" customHeight="false" outlineLevel="0" collapsed="false">
      <c r="A32" s="0" t="s">
        <v>98</v>
      </c>
      <c r="B32" s="14" t="n">
        <v>16500</v>
      </c>
      <c r="C32" s="0" t="s">
        <v>72</v>
      </c>
      <c r="D32" s="7" t="s">
        <v>99</v>
      </c>
    </row>
    <row r="33" customFormat="false" ht="15" hidden="false" customHeight="false" outlineLevel="0" collapsed="false">
      <c r="A33" s="0" t="s">
        <v>100</v>
      </c>
      <c r="B33" s="14" t="n">
        <v>5500</v>
      </c>
      <c r="C33" s="0" t="s">
        <v>72</v>
      </c>
      <c r="D33" s="7" t="s">
        <v>101</v>
      </c>
    </row>
    <row r="34" customFormat="false" ht="15" hidden="false" customHeight="false" outlineLevel="0" collapsed="false">
      <c r="A34" s="0" t="s">
        <v>102</v>
      </c>
      <c r="B34" s="14" t="n">
        <v>2754.331408263</v>
      </c>
      <c r="C34" s="0" t="s">
        <v>72</v>
      </c>
      <c r="D34" s="7" t="s">
        <v>103</v>
      </c>
    </row>
    <row r="35" customFormat="false" ht="15" hidden="false" customHeight="false" outlineLevel="0" collapsed="false">
      <c r="A35" s="0" t="s">
        <v>104</v>
      </c>
      <c r="B35" s="14" t="n">
        <v>279.875610839627</v>
      </c>
      <c r="C35" s="0" t="s">
        <v>72</v>
      </c>
      <c r="D35" s="7" t="s">
        <v>105</v>
      </c>
    </row>
    <row r="36" customFormat="false" ht="15" hidden="false" customHeight="false" outlineLevel="0" collapsed="false">
      <c r="A36" s="0" t="s">
        <v>106</v>
      </c>
      <c r="B36" s="14" t="n">
        <v>1200</v>
      </c>
      <c r="C36" s="0" t="s">
        <v>72</v>
      </c>
      <c r="D36" s="7" t="s">
        <v>107</v>
      </c>
    </row>
    <row r="37" customFormat="false" ht="15" hidden="false" customHeight="false" outlineLevel="0" collapsed="false">
      <c r="A37" s="11" t="s">
        <v>108</v>
      </c>
    </row>
    <row r="38" customFormat="false" ht="15" hidden="false" customHeight="false" outlineLevel="0" collapsed="false">
      <c r="A38" s="0" t="s">
        <v>109</v>
      </c>
      <c r="B38" s="17" t="n">
        <v>0.12</v>
      </c>
      <c r="C38" s="0" t="s">
        <v>81</v>
      </c>
      <c r="D38" s="7" t="s">
        <v>110</v>
      </c>
    </row>
    <row r="39" customFormat="false" ht="15" hidden="false" customHeight="false" outlineLevel="0" collapsed="false">
      <c r="A39" s="0" t="s">
        <v>111</v>
      </c>
      <c r="B39" s="17" t="n">
        <v>0.196</v>
      </c>
      <c r="C39" s="0" t="s">
        <v>81</v>
      </c>
      <c r="D39" s="7" t="s">
        <v>112</v>
      </c>
    </row>
    <row r="40" customFormat="false" ht="15" hidden="false" customHeight="false" outlineLevel="0" collapsed="false">
      <c r="A40" s="0" t="s">
        <v>113</v>
      </c>
      <c r="B40" s="17" t="n">
        <v>0.09</v>
      </c>
      <c r="C40" s="0" t="s">
        <v>81</v>
      </c>
      <c r="D40" s="7" t="s">
        <v>114</v>
      </c>
    </row>
    <row r="41" customFormat="false" ht="15" hidden="false" customHeight="false" outlineLevel="0" collapsed="false">
      <c r="A41" s="0" t="s">
        <v>115</v>
      </c>
      <c r="B41" s="17" t="n">
        <v>0.08</v>
      </c>
      <c r="C41" s="0" t="s">
        <v>81</v>
      </c>
      <c r="D41" s="7" t="s">
        <v>116</v>
      </c>
    </row>
    <row r="42" customFormat="false" ht="15" hidden="false" customHeight="false" outlineLevel="0" collapsed="false">
      <c r="A42" s="0" t="s">
        <v>117</v>
      </c>
      <c r="B42" s="17" t="n">
        <v>0.006</v>
      </c>
      <c r="C42" s="0" t="s">
        <v>81</v>
      </c>
      <c r="D42" s="7" t="s">
        <v>118</v>
      </c>
    </row>
    <row r="43" customFormat="false" ht="15" hidden="false" customHeight="false" outlineLevel="0" collapsed="false">
      <c r="A43" s="0" t="s">
        <v>119</v>
      </c>
      <c r="B43" s="17" t="n">
        <v>0.005</v>
      </c>
      <c r="C43" s="0" t="s">
        <v>81</v>
      </c>
      <c r="D43" s="7" t="s">
        <v>116</v>
      </c>
    </row>
    <row r="44" customFormat="false" ht="15" hidden="false" customHeight="false" outlineLevel="0" collapsed="false">
      <c r="A44" s="0" t="s">
        <v>120</v>
      </c>
      <c r="B44" s="18" t="n">
        <v>420</v>
      </c>
      <c r="C44" s="0" t="s">
        <v>72</v>
      </c>
      <c r="D44" s="7" t="s">
        <v>121</v>
      </c>
    </row>
    <row r="45" customFormat="false" ht="15" hidden="false" customHeight="false" outlineLevel="0" collapsed="false">
      <c r="A45" s="0" t="s">
        <v>122</v>
      </c>
      <c r="B45" s="18" t="n">
        <v>400</v>
      </c>
      <c r="C45" s="0" t="s">
        <v>72</v>
      </c>
      <c r="D45" s="7" t="s">
        <v>116</v>
      </c>
    </row>
    <row r="46" customFormat="false" ht="15" hidden="false" customHeight="false" outlineLevel="0" collapsed="false">
      <c r="A46" s="0" t="s">
        <v>123</v>
      </c>
      <c r="B46" s="18" t="n">
        <v>380</v>
      </c>
      <c r="C46" s="0" t="s">
        <v>72</v>
      </c>
      <c r="D46" s="7" t="s">
        <v>116</v>
      </c>
    </row>
    <row r="47" customFormat="false" ht="15" hidden="false" customHeight="false" outlineLevel="0" collapsed="false">
      <c r="A47" s="0" t="s">
        <v>124</v>
      </c>
      <c r="B47" s="18" t="n">
        <v>600</v>
      </c>
      <c r="C47" s="0" t="s">
        <v>72</v>
      </c>
      <c r="D47" s="7" t="s">
        <v>125</v>
      </c>
    </row>
    <row r="48" customFormat="false" ht="15" hidden="false" customHeight="false" outlineLevel="0" collapsed="false">
      <c r="A48" s="0" t="s">
        <v>126</v>
      </c>
      <c r="B48" s="18" t="n">
        <v>650</v>
      </c>
      <c r="C48" s="0" t="s">
        <v>72</v>
      </c>
      <c r="D48" s="7" t="s">
        <v>127</v>
      </c>
    </row>
    <row r="49" customFormat="false" ht="15" hidden="false" customHeight="false" outlineLevel="0" collapsed="false">
      <c r="A49" s="0" t="s">
        <v>128</v>
      </c>
      <c r="B49" s="18" t="n">
        <v>650</v>
      </c>
      <c r="C49" s="0" t="s">
        <v>72</v>
      </c>
      <c r="D49" s="7" t="s">
        <v>116</v>
      </c>
    </row>
    <row r="50" customFormat="false" ht="15" hidden="false" customHeight="false" outlineLevel="0" collapsed="false">
      <c r="A50" s="0" t="s">
        <v>129</v>
      </c>
      <c r="B50" s="17" t="n">
        <v>0.24</v>
      </c>
      <c r="C50" s="0" t="s">
        <v>81</v>
      </c>
      <c r="D50" s="7" t="s">
        <v>130</v>
      </c>
    </row>
    <row r="51" customFormat="false" ht="15" hidden="false" customHeight="false" outlineLevel="0" collapsed="false">
      <c r="A51" s="0" t="s">
        <v>131</v>
      </c>
      <c r="B51" s="18" t="n">
        <v>90</v>
      </c>
      <c r="C51" s="0" t="s">
        <v>72</v>
      </c>
      <c r="D51" s="7" t="s">
        <v>132</v>
      </c>
    </row>
    <row r="52" customFormat="false" ht="15" hidden="false" customHeight="false" outlineLevel="0" collapsed="false">
      <c r="A52" s="0" t="s">
        <v>133</v>
      </c>
      <c r="B52" s="18" t="n">
        <v>100</v>
      </c>
      <c r="C52" s="0" t="s">
        <v>72</v>
      </c>
      <c r="D52" s="7" t="s">
        <v>116</v>
      </c>
    </row>
    <row r="53" customFormat="false" ht="15" hidden="false" customHeight="false" outlineLevel="0" collapsed="false">
      <c r="A53" s="0" t="s">
        <v>134</v>
      </c>
      <c r="B53" s="18" t="n">
        <v>110</v>
      </c>
      <c r="C53" s="0" t="s">
        <v>72</v>
      </c>
      <c r="D53" s="7" t="s">
        <v>116</v>
      </c>
    </row>
    <row r="54" customFormat="false" ht="15" hidden="false" customHeight="false" outlineLevel="0" collapsed="false">
      <c r="A54" s="0" t="s">
        <v>135</v>
      </c>
      <c r="B54" s="18" t="n">
        <v>562.5</v>
      </c>
      <c r="C54" s="0" t="s">
        <v>62</v>
      </c>
      <c r="D54" s="7" t="s">
        <v>136</v>
      </c>
    </row>
    <row r="55" customFormat="false" ht="15" hidden="false" customHeight="false" outlineLevel="0" collapsed="false">
      <c r="A55" s="0" t="s">
        <v>137</v>
      </c>
      <c r="B55" s="18" t="n">
        <v>560.5</v>
      </c>
      <c r="C55" s="0" t="s">
        <v>62</v>
      </c>
      <c r="D55" s="7" t="s">
        <v>138</v>
      </c>
    </row>
    <row r="56" customFormat="false" ht="15" hidden="false" customHeight="false" outlineLevel="0" collapsed="false">
      <c r="A56" s="0" t="s">
        <v>139</v>
      </c>
      <c r="B56" s="18" t="n">
        <v>558.3</v>
      </c>
      <c r="C56" s="0" t="s">
        <v>62</v>
      </c>
      <c r="D56" s="7" t="s">
        <v>116</v>
      </c>
    </row>
    <row r="57" customFormat="false" ht="15" hidden="false" customHeight="false" outlineLevel="0" collapsed="false">
      <c r="A57" s="0" t="s">
        <v>140</v>
      </c>
      <c r="B57" s="19" t="n">
        <v>22</v>
      </c>
      <c r="C57" s="0" t="s">
        <v>92</v>
      </c>
      <c r="D57" s="7" t="s">
        <v>141</v>
      </c>
    </row>
    <row r="58" customFormat="false" ht="15" hidden="false" customHeight="false" outlineLevel="0" collapsed="false">
      <c r="A58" s="0" t="s">
        <v>142</v>
      </c>
      <c r="B58" s="17" t="n">
        <v>0.1</v>
      </c>
      <c r="C58" s="0" t="s">
        <v>81</v>
      </c>
      <c r="D58" s="7" t="s">
        <v>143</v>
      </c>
    </row>
    <row r="59" customFormat="false" ht="15" hidden="false" customHeight="false" outlineLevel="0" collapsed="false">
      <c r="A59" s="0" t="s">
        <v>144</v>
      </c>
      <c r="B59" s="18" t="n">
        <v>80</v>
      </c>
      <c r="C59" s="0" t="s">
        <v>72</v>
      </c>
      <c r="D59" s="7" t="s">
        <v>145</v>
      </c>
    </row>
    <row r="60" customFormat="false" ht="15" hidden="false" customHeight="false" outlineLevel="0" collapsed="false">
      <c r="A60" s="0" t="s">
        <v>146</v>
      </c>
      <c r="B60" s="17" t="n">
        <v>0.035</v>
      </c>
      <c r="C60" s="0" t="s">
        <v>81</v>
      </c>
      <c r="D60" s="7" t="s">
        <v>147</v>
      </c>
    </row>
    <row r="61" customFormat="false" ht="15" hidden="false" customHeight="false" outlineLevel="0" collapsed="false">
      <c r="A61" s="0" t="s">
        <v>148</v>
      </c>
      <c r="B61" s="20" t="n">
        <v>250</v>
      </c>
      <c r="C61" s="0" t="s">
        <v>52</v>
      </c>
      <c r="D61" s="7" t="s">
        <v>149</v>
      </c>
    </row>
    <row r="62" customFormat="false" ht="15" hidden="false" customHeight="false" outlineLevel="0" collapsed="false">
      <c r="A62" s="0" t="s">
        <v>150</v>
      </c>
      <c r="B62" s="18" t="n">
        <v>0.6</v>
      </c>
      <c r="C62" s="0" t="s">
        <v>62</v>
      </c>
      <c r="D62" s="7" t="s">
        <v>151</v>
      </c>
    </row>
    <row r="63" customFormat="false" ht="15" hidden="false" customHeight="false" outlineLevel="0" collapsed="false">
      <c r="A63" s="0" t="s">
        <v>152</v>
      </c>
      <c r="B63" s="18" t="n">
        <v>1200</v>
      </c>
      <c r="C63" s="0" t="s">
        <v>72</v>
      </c>
      <c r="D63" s="7" t="s">
        <v>153</v>
      </c>
    </row>
    <row r="64" customFormat="false" ht="15" hidden="false" customHeight="false" outlineLevel="0" collapsed="false">
      <c r="A64" s="0" t="s">
        <v>154</v>
      </c>
      <c r="B64" s="18" t="n">
        <v>600</v>
      </c>
      <c r="C64" s="0" t="s">
        <v>72</v>
      </c>
      <c r="D64" s="7" t="s">
        <v>155</v>
      </c>
    </row>
    <row r="65" customFormat="false" ht="15" hidden="false" customHeight="false" outlineLevel="0" collapsed="false">
      <c r="A65" s="0" t="s">
        <v>156</v>
      </c>
      <c r="B65" s="18" t="n">
        <v>3400</v>
      </c>
      <c r="C65" s="0" t="s">
        <v>72</v>
      </c>
      <c r="D65" s="7" t="s">
        <v>157</v>
      </c>
    </row>
    <row r="66" customFormat="false" ht="15" hidden="false" customHeight="false" outlineLevel="0" collapsed="false">
      <c r="A66" s="0" t="s">
        <v>158</v>
      </c>
      <c r="B66" s="18" t="n">
        <v>3300</v>
      </c>
      <c r="C66" s="0" t="s">
        <v>72</v>
      </c>
      <c r="D66" s="7" t="s">
        <v>116</v>
      </c>
    </row>
    <row r="67" customFormat="false" ht="15" hidden="false" customHeight="false" outlineLevel="0" collapsed="false">
      <c r="A67" s="0" t="s">
        <v>159</v>
      </c>
      <c r="B67" s="18" t="n">
        <v>2600</v>
      </c>
      <c r="C67" s="0" t="s">
        <v>72</v>
      </c>
      <c r="D67" s="7" t="s">
        <v>160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6"/>
    <col collapsed="false" customWidth="true" hidden="false" outlineLevel="0" max="6" min="2" style="0" width="11"/>
  </cols>
  <sheetData>
    <row r="1" customFormat="false" ht="15" hidden="false" customHeight="false" outlineLevel="0" collapsed="false">
      <c r="A1" s="1" t="s">
        <v>161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162</v>
      </c>
      <c r="B4" s="4" t="s">
        <v>163</v>
      </c>
      <c r="C4" s="4" t="s">
        <v>164</v>
      </c>
      <c r="D4" s="4" t="s">
        <v>165</v>
      </c>
      <c r="E4" s="4" t="s">
        <v>166</v>
      </c>
      <c r="F4" s="4" t="s">
        <v>167</v>
      </c>
    </row>
    <row r="5" customFormat="false" ht="15" hidden="false" customHeight="false" outlineLevel="0" collapsed="false">
      <c r="A5" s="0" t="s">
        <v>168</v>
      </c>
      <c r="B5" s="21" t="n">
        <v>10011</v>
      </c>
      <c r="C5" s="21" t="n">
        <v>9721</v>
      </c>
      <c r="D5" s="21" t="n">
        <v>11095</v>
      </c>
      <c r="E5" s="21" t="n">
        <v>9767</v>
      </c>
      <c r="F5" s="21" t="n">
        <v>11459</v>
      </c>
    </row>
    <row r="6" customFormat="false" ht="15" hidden="false" customHeight="false" outlineLevel="0" collapsed="false">
      <c r="A6" s="0" t="s">
        <v>169</v>
      </c>
      <c r="B6" s="22" t="n">
        <v>0.083</v>
      </c>
      <c r="C6" s="22" t="n">
        <v>0.09</v>
      </c>
      <c r="D6" s="22" t="n">
        <v>0.107</v>
      </c>
      <c r="E6" s="22" t="n">
        <v>0.112</v>
      </c>
      <c r="F6" s="22" t="n">
        <v>0.165</v>
      </c>
    </row>
    <row r="7" customFormat="false" ht="15" hidden="false" customHeight="false" outlineLevel="0" collapsed="false">
      <c r="A7" s="0" t="s">
        <v>170</v>
      </c>
      <c r="B7" s="23" t="n">
        <v>0.48</v>
      </c>
      <c r="C7" s="23" t="n">
        <v>0.48</v>
      </c>
      <c r="D7" s="24"/>
      <c r="E7" s="23" t="n">
        <v>0.48</v>
      </c>
      <c r="F7" s="23" t="n">
        <v>0.47</v>
      </c>
    </row>
    <row r="8" customFormat="false" ht="15" hidden="false" customHeight="false" outlineLevel="0" collapsed="false">
      <c r="A8" s="0" t="s">
        <v>171</v>
      </c>
      <c r="B8" s="23" t="n">
        <v>0.02</v>
      </c>
      <c r="C8" s="23" t="n">
        <v>0.03</v>
      </c>
      <c r="D8" s="23" t="n">
        <v>0.04</v>
      </c>
      <c r="E8" s="23" t="n">
        <v>0.09</v>
      </c>
      <c r="F8" s="23" t="n">
        <v>0.13</v>
      </c>
    </row>
    <row r="9" customFormat="false" ht="15" hidden="false" customHeight="false" outlineLevel="0" collapsed="false">
      <c r="A9" s="0" t="s">
        <v>172</v>
      </c>
      <c r="B9" s="23" t="n">
        <v>0.33</v>
      </c>
      <c r="C9" s="23" t="n">
        <v>0.34</v>
      </c>
      <c r="D9" s="24"/>
      <c r="E9" s="23" t="n">
        <v>0.33</v>
      </c>
      <c r="F9" s="23" t="n">
        <v>0.35</v>
      </c>
    </row>
    <row r="10" customFormat="false" ht="15" hidden="false" customHeight="false" outlineLevel="0" collapsed="false">
      <c r="A10" s="0" t="s">
        <v>173</v>
      </c>
      <c r="B10" s="23" t="n">
        <v>0.17</v>
      </c>
      <c r="C10" s="23" t="n">
        <v>0.19</v>
      </c>
      <c r="D10" s="23" t="n">
        <v>0.19</v>
      </c>
      <c r="E10" s="23" t="n">
        <v>0.16</v>
      </c>
      <c r="F10" s="23" t="n">
        <v>0.28</v>
      </c>
    </row>
    <row r="11" customFormat="false" ht="15" hidden="false" customHeight="false" outlineLevel="0" collapsed="false">
      <c r="A11" s="0" t="s">
        <v>174</v>
      </c>
      <c r="B11" s="23" t="n">
        <v>0.19</v>
      </c>
      <c r="C11" s="23" t="n">
        <v>0.18</v>
      </c>
      <c r="D11" s="24"/>
      <c r="E11" s="23" t="n">
        <v>0.19</v>
      </c>
      <c r="F11" s="23" t="n">
        <v>0.18</v>
      </c>
    </row>
    <row r="12" customFormat="false" ht="15" hidden="false" customHeight="false" outlineLevel="0" collapsed="false">
      <c r="A12" s="0" t="s">
        <v>175</v>
      </c>
      <c r="B12" s="23" t="n">
        <v>0.11</v>
      </c>
      <c r="C12" s="23" t="n">
        <v>0.08</v>
      </c>
      <c r="D12" s="23" t="n">
        <v>0.1</v>
      </c>
      <c r="E12" s="23" t="n">
        <v>0.09</v>
      </c>
      <c r="F12" s="23" t="n">
        <v>0.06</v>
      </c>
    </row>
    <row r="14" customFormat="false" ht="15" hidden="false" customHeight="false" outlineLevel="0" collapsed="false">
      <c r="A14" s="11" t="s">
        <v>176</v>
      </c>
    </row>
    <row r="15" customFormat="false" ht="15" hidden="false" customHeight="false" outlineLevel="0" collapsed="false">
      <c r="A15" s="0" t="s">
        <v>177</v>
      </c>
      <c r="B15" s="25" t="n">
        <f aca="false">B5*B9*F10</f>
        <v>925.0164</v>
      </c>
    </row>
    <row r="16" customFormat="false" ht="15" hidden="false" customHeight="false" outlineLevel="0" collapsed="false">
      <c r="A16" s="0" t="s">
        <v>178</v>
      </c>
      <c r="B16" s="25" t="n">
        <f aca="false">B5*B7*F8</f>
        <v>624.6864</v>
      </c>
    </row>
    <row r="17" customFormat="false" ht="15" hidden="false" customHeight="false" outlineLevel="0" collapsed="false">
      <c r="A17" s="0" t="s">
        <v>179</v>
      </c>
      <c r="B17" s="25" t="n">
        <f aca="false">B5*B11*F12</f>
        <v>114.1254</v>
      </c>
    </row>
    <row r="18" customFormat="false" ht="15" hidden="false" customHeight="false" outlineLevel="0" collapsed="false">
      <c r="A18" s="0" t="s">
        <v>180</v>
      </c>
      <c r="B18" s="26" t="n">
        <f aca="false">B15/SUM(B15:B17)</f>
        <v>0.555956678700361</v>
      </c>
    </row>
    <row r="19" customFormat="false" ht="15" hidden="false" customHeight="false" outlineLevel="0" collapsed="false">
      <c r="A19" s="0" t="s">
        <v>181</v>
      </c>
      <c r="B19" s="27" t="n">
        <f aca="false">(E5*E9+F5*F9)/(E5+F5)</f>
        <v>0.340797135588429</v>
      </c>
    </row>
    <row r="20" customFormat="false" ht="15" hidden="false" customHeight="false" outlineLevel="0" collapsed="false">
      <c r="A20" s="0" t="s">
        <v>182</v>
      </c>
      <c r="B20" s="23" t="n">
        <v>0.31</v>
      </c>
    </row>
    <row r="21" customFormat="false" ht="15" hidden="false" customHeight="false" outlineLevel="0" collapsed="false">
      <c r="A21" s="0" t="s">
        <v>183</v>
      </c>
      <c r="B21" s="23" t="n">
        <v>0.34</v>
      </c>
    </row>
    <row r="23" customFormat="false" ht="15" hidden="false" customHeight="false" outlineLevel="0" collapsed="false">
      <c r="A23" s="12" t="s">
        <v>184</v>
      </c>
    </row>
    <row r="24" customFormat="false" ht="15" hidden="false" customHeight="false" outlineLevel="0" collapsed="false">
      <c r="A24" s="12" t="s">
        <v>185</v>
      </c>
    </row>
    <row r="25" customFormat="false" ht="15" hidden="false" customHeight="false" outlineLevel="0" collapsed="false">
      <c r="A25" s="12" t="s">
        <v>186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6" min="2" style="0" width="12"/>
    <col collapsed="false" customWidth="true" hidden="false" outlineLevel="0" max="7" min="7" style="0" width="14"/>
  </cols>
  <sheetData>
    <row r="1" customFormat="false" ht="15" hidden="false" customHeight="false" outlineLevel="0" collapsed="false">
      <c r="A1" s="1" t="s">
        <v>187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/>
      <c r="B4" s="4" t="s">
        <v>188</v>
      </c>
      <c r="C4" s="4" t="s">
        <v>189</v>
      </c>
      <c r="D4" s="4" t="s">
        <v>190</v>
      </c>
      <c r="E4" s="4" t="s">
        <v>191</v>
      </c>
      <c r="F4" s="4" t="s">
        <v>192</v>
      </c>
      <c r="G4" s="4" t="s">
        <v>193</v>
      </c>
    </row>
    <row r="5" customFormat="false" ht="15" hidden="false" customHeight="false" outlineLevel="0" collapsed="false">
      <c r="A5" s="5" t="s">
        <v>168</v>
      </c>
      <c r="B5" s="21" t="n">
        <v>38153</v>
      </c>
      <c r="C5" s="21" t="n">
        <v>40152</v>
      </c>
      <c r="D5" s="25" t="n">
        <f aca="false">C5*(1+Assumptions!$B$38)+Assumptions!$B$22</f>
        <v>44520.24</v>
      </c>
      <c r="E5" s="25" t="n">
        <f aca="false">D5*(1+Assumptions!$B$40)</f>
        <v>48527.0616</v>
      </c>
      <c r="F5" s="25" t="n">
        <f aca="false">E5*(1+Assumptions!$B$41)</f>
        <v>52409.226528</v>
      </c>
      <c r="G5" s="25" t="n">
        <f aca="false">F5+PTC!B8</f>
        <v>55603.626528</v>
      </c>
    </row>
    <row r="6" customFormat="false" ht="15" hidden="false" customHeight="false" outlineLevel="0" collapsed="false">
      <c r="A6" s="28" t="s">
        <v>194</v>
      </c>
      <c r="B6" s="22" t="n">
        <v>0.084</v>
      </c>
      <c r="C6" s="22" t="n">
        <v>0.089</v>
      </c>
      <c r="D6" s="10" t="n">
        <f aca="false">Assumptions!$B$38</f>
        <v>0.12</v>
      </c>
      <c r="E6" s="10" t="n">
        <f aca="false">Assumptions!$B$40</f>
        <v>0.09</v>
      </c>
      <c r="F6" s="10" t="n">
        <f aca="false">Assumptions!$B$41</f>
        <v>0.08</v>
      </c>
      <c r="G6" s="26"/>
    </row>
    <row r="7" customFormat="false" ht="15" hidden="false" customHeight="false" outlineLevel="0" collapsed="false">
      <c r="A7" s="28" t="s">
        <v>195</v>
      </c>
      <c r="B7" s="26" t="n">
        <f aca="false">B8/B5</f>
        <v>0.185647262338479</v>
      </c>
      <c r="C7" s="26" t="n">
        <f aca="false">C8/C5</f>
        <v>0.187288304443116</v>
      </c>
      <c r="D7" s="10" t="n">
        <f aca="false">Assumptions!$B$39</f>
        <v>0.196</v>
      </c>
      <c r="E7" s="26" t="n">
        <f aca="false">D7+Assumptions!$B$42</f>
        <v>0.202</v>
      </c>
      <c r="F7" s="26" t="n">
        <f aca="false">E7+Assumptions!$B$43</f>
        <v>0.207</v>
      </c>
      <c r="G7" s="26" t="n">
        <f aca="false">G8/G5</f>
        <v>0.21642379711464</v>
      </c>
    </row>
    <row r="8" customFormat="false" ht="15" hidden="false" customHeight="false" outlineLevel="0" collapsed="false">
      <c r="A8" s="5" t="s">
        <v>196</v>
      </c>
      <c r="B8" s="21" t="n">
        <v>7083</v>
      </c>
      <c r="C8" s="21" t="n">
        <v>7520</v>
      </c>
      <c r="D8" s="25" t="n">
        <f aca="false">D5*D7</f>
        <v>8725.96704</v>
      </c>
      <c r="E8" s="25" t="n">
        <f aca="false">E5*E7</f>
        <v>9802.4664432</v>
      </c>
      <c r="F8" s="25" t="n">
        <f aca="false">F5*F7</f>
        <v>10848.709891296</v>
      </c>
      <c r="G8" s="25" t="n">
        <f aca="false">F8+PTC!B10</f>
        <v>12033.9479865341</v>
      </c>
    </row>
    <row r="9" customFormat="false" ht="15" hidden="false" customHeight="false" outlineLevel="0" collapsed="false">
      <c r="A9" s="28" t="s">
        <v>197</v>
      </c>
      <c r="B9" s="21" t="n">
        <v>-406</v>
      </c>
      <c r="C9" s="21" t="n">
        <v>-457</v>
      </c>
      <c r="D9" s="25" t="n">
        <f aca="false">-Assumptions!$B$44</f>
        <v>-420</v>
      </c>
      <c r="E9" s="25" t="n">
        <f aca="false">-Assumptions!$B$45</f>
        <v>-400</v>
      </c>
      <c r="F9" s="25" t="n">
        <f aca="false">-Assumptions!$B$46</f>
        <v>-380</v>
      </c>
      <c r="G9" s="25" t="n">
        <f aca="false">F9-Assumptions!$B$64</f>
        <v>-980</v>
      </c>
    </row>
    <row r="10" customFormat="false" ht="15" hidden="false" customHeight="false" outlineLevel="0" collapsed="false">
      <c r="A10" s="28" t="s">
        <v>198</v>
      </c>
      <c r="B10" s="21" t="n">
        <v>-409</v>
      </c>
      <c r="C10" s="21" t="n">
        <v>-519</v>
      </c>
      <c r="D10" s="25" t="n">
        <f aca="false">-Assumptions!$B$47</f>
        <v>-600</v>
      </c>
      <c r="E10" s="25" t="n">
        <f aca="false">-Assumptions!$B$48</f>
        <v>-650</v>
      </c>
      <c r="F10" s="25" t="n">
        <f aca="false">-Assumptions!$B$49</f>
        <v>-650</v>
      </c>
      <c r="G10" s="25" t="n">
        <f aca="false">F10-PTC!B13</f>
        <v>-1185.5</v>
      </c>
    </row>
    <row r="11" customFormat="false" ht="15" hidden="false" customHeight="false" outlineLevel="0" collapsed="false">
      <c r="A11" s="28" t="s">
        <v>199</v>
      </c>
      <c r="B11" s="21" t="n">
        <v>-1451</v>
      </c>
      <c r="C11" s="21" t="n">
        <v>-1541</v>
      </c>
      <c r="D11" s="25" t="n">
        <f aca="false">-(D8+D9+D10)*Assumptions!$B$50</f>
        <v>-1849.4320896</v>
      </c>
      <c r="E11" s="25" t="n">
        <f aca="false">-(E8+E9+E10)*Assumptions!$B$50</f>
        <v>-2100.591946368</v>
      </c>
      <c r="F11" s="25" t="n">
        <f aca="false">-(F8+F9+F10)*Assumptions!$B$50</f>
        <v>-2356.49037391104</v>
      </c>
      <c r="G11" s="25" t="n">
        <f aca="false">-(G8+G9+G10)*Assumptions!$B$50</f>
        <v>-2368.42751676818</v>
      </c>
    </row>
    <row r="12" customFormat="false" ht="15" hidden="false" customHeight="false" outlineLevel="0" collapsed="false">
      <c r="A12" s="28" t="s">
        <v>200</v>
      </c>
      <c r="B12" s="21" t="n">
        <v>-153</v>
      </c>
      <c r="C12" s="21" t="n">
        <v>-174</v>
      </c>
      <c r="D12" s="25" t="n">
        <f aca="false">-Assumptions!$B$51</f>
        <v>-90</v>
      </c>
      <c r="E12" s="25" t="n">
        <f aca="false">-Assumptions!$B$52</f>
        <v>-100</v>
      </c>
      <c r="F12" s="25" t="n">
        <f aca="false">-Assumptions!$B$53</f>
        <v>-110</v>
      </c>
      <c r="G12" s="25" t="n">
        <f aca="false">F12</f>
        <v>-110</v>
      </c>
    </row>
    <row r="13" customFormat="false" ht="15" hidden="false" customHeight="false" outlineLevel="0" collapsed="false">
      <c r="A13" s="5" t="s">
        <v>201</v>
      </c>
      <c r="B13" s="25" t="n">
        <f aca="false">SUM(B8:B12)</f>
        <v>4664</v>
      </c>
      <c r="C13" s="25" t="n">
        <f aca="false">SUM(C8:C12)</f>
        <v>4829</v>
      </c>
      <c r="D13" s="25" t="n">
        <f aca="false">SUM(D8:D12)</f>
        <v>5766.5349504</v>
      </c>
      <c r="E13" s="25" t="n">
        <f aca="false">SUM(E8:E12)</f>
        <v>6551.874496832</v>
      </c>
      <c r="F13" s="25" t="n">
        <f aca="false">SUM(F8:F12)</f>
        <v>7352.21951738496</v>
      </c>
      <c r="G13" s="25" t="n">
        <f aca="false">SUM(G8:G12)</f>
        <v>7390.02046976592</v>
      </c>
    </row>
    <row r="14" customFormat="false" ht="15" hidden="false" customHeight="false" outlineLevel="0" collapsed="false">
      <c r="A14" s="28" t="s">
        <v>202</v>
      </c>
      <c r="B14" s="29" t="n">
        <f aca="false">B13/B15</f>
        <v>560.576923076923</v>
      </c>
      <c r="C14" s="29" t="n">
        <f aca="false">C13/C15</f>
        <v>562.165308498254</v>
      </c>
      <c r="D14" s="30" t="n">
        <f aca="false">Assumptions!$B$54</f>
        <v>562.5</v>
      </c>
      <c r="E14" s="30" t="n">
        <f aca="false">Assumptions!$B$55</f>
        <v>560.5</v>
      </c>
      <c r="F14" s="30" t="n">
        <f aca="false">Assumptions!$B$56</f>
        <v>558.3</v>
      </c>
      <c r="G14" s="29" t="n">
        <f aca="false">PTC!B16</f>
        <v>583.9</v>
      </c>
    </row>
    <row r="15" customFormat="false" ht="15" hidden="false" customHeight="false" outlineLevel="0" collapsed="false">
      <c r="A15" s="5" t="s">
        <v>203</v>
      </c>
      <c r="B15" s="31" t="n">
        <v>8.32</v>
      </c>
      <c r="C15" s="31" t="n">
        <v>8.59</v>
      </c>
      <c r="D15" s="32" t="n">
        <f aca="false">D13/D14</f>
        <v>10.2516176896</v>
      </c>
      <c r="E15" s="32" t="n">
        <f aca="false">E13/E14</f>
        <v>11.6893389773988</v>
      </c>
      <c r="F15" s="32" t="n">
        <f aca="false">F13/F14</f>
        <v>13.1689405649023</v>
      </c>
      <c r="G15" s="32" t="n">
        <f aca="false">G13/G14</f>
        <v>12.6563118166911</v>
      </c>
    </row>
    <row r="16" customFormat="false" ht="15" hidden="false" customHeight="false" outlineLevel="0" collapsed="false">
      <c r="A16" s="28" t="s">
        <v>204</v>
      </c>
      <c r="B16" s="26"/>
      <c r="C16" s="26" t="n">
        <f aca="false">C15/B15-1</f>
        <v>0.0324519230769231</v>
      </c>
      <c r="D16" s="26" t="n">
        <f aca="false">D15/C15-1</f>
        <v>0.193436285168801</v>
      </c>
      <c r="E16" s="26" t="n">
        <f aca="false">E15/D15-1</f>
        <v>0.140243357812424</v>
      </c>
      <c r="F16" s="26" t="n">
        <f aca="false">F15/E15-1</f>
        <v>0.126577010929734</v>
      </c>
      <c r="G16" s="26" t="n">
        <f aca="false">G15/E15-1</f>
        <v>0.0827226279571454</v>
      </c>
    </row>
    <row r="17" customFormat="false" ht="15" hidden="false" customHeight="false" outlineLevel="0" collapsed="false">
      <c r="A17" s="28" t="s">
        <v>205</v>
      </c>
      <c r="B17" s="33" t="n">
        <f aca="false">Assumptions!$B$7/B15</f>
        <v>31.3100961538462</v>
      </c>
      <c r="C17" s="33" t="n">
        <f aca="false">Assumptions!$B$7/C15</f>
        <v>30.325960419092</v>
      </c>
      <c r="D17" s="33" t="n">
        <f aca="false">Assumptions!$B$7/D15</f>
        <v>25.4106237559239</v>
      </c>
      <c r="E17" s="33" t="n">
        <f aca="false">Assumptions!$B$7/E15</f>
        <v>22.2852635639769</v>
      </c>
      <c r="F17" s="33" t="n">
        <f aca="false">Assumptions!$B$7/F15</f>
        <v>19.7813938574741</v>
      </c>
      <c r="G17" s="33" t="n">
        <f aca="false">Assumptions!$B$7/G15</f>
        <v>20.5826155180891</v>
      </c>
    </row>
    <row r="18" customFormat="false" ht="15" hidden="false" customHeight="false" outlineLevel="0" collapsed="false">
      <c r="A18" s="28" t="s">
        <v>206</v>
      </c>
      <c r="B18" s="32"/>
      <c r="C18" s="32"/>
      <c r="D18" s="34" t="n">
        <f aca="false">Assumptions!$B$14</f>
        <v>10.41</v>
      </c>
      <c r="E18" s="34" t="n">
        <f aca="false">Assumptions!$B$15</f>
        <v>12.38</v>
      </c>
      <c r="F18" s="32"/>
      <c r="G18" s="32"/>
    </row>
    <row r="19" customFormat="false" ht="15" hidden="false" customHeight="false" outlineLevel="0" collapsed="false">
      <c r="A19" s="28" t="s">
        <v>207</v>
      </c>
      <c r="B19" s="26"/>
      <c r="C19" s="26"/>
      <c r="D19" s="26" t="n">
        <f aca="false">D15/D18-1</f>
        <v>-0.0152144390393849</v>
      </c>
      <c r="E19" s="26" t="n">
        <f aca="false">E15/E18-1</f>
        <v>-0.0557884509370957</v>
      </c>
      <c r="F19" s="26"/>
      <c r="G19" s="26"/>
    </row>
    <row r="20" customFormat="false" ht="15" hidden="false" customHeight="false" outlineLevel="0" collapsed="false">
      <c r="A20" s="28" t="s">
        <v>208</v>
      </c>
      <c r="B20" s="35"/>
      <c r="C20" s="35"/>
      <c r="D20" s="33" t="n">
        <f aca="false">Assumptions!$B$7/D18</f>
        <v>25.0240153698367</v>
      </c>
      <c r="E20" s="33" t="n">
        <f aca="false">Assumptions!$B$7/E18</f>
        <v>21.0420032310178</v>
      </c>
      <c r="F20" s="35"/>
      <c r="G20" s="35"/>
    </row>
    <row r="22" customFormat="false" ht="15" hidden="false" customHeight="false" outlineLevel="0" collapsed="false">
      <c r="A22" s="12" t="s">
        <v>209</v>
      </c>
    </row>
    <row r="23" customFormat="false" ht="15" hidden="false" customHeight="false" outlineLevel="0" collapsed="false">
      <c r="A23" s="12" t="s">
        <v>210</v>
      </c>
    </row>
    <row r="24" customFormat="false" ht="15" hidden="false" customHeight="false" outlineLevel="0" collapsed="false">
      <c r="A24" s="12" t="s">
        <v>211</v>
      </c>
    </row>
    <row r="25" customFormat="false" ht="15" hidden="false" customHeight="false" outlineLevel="0" collapsed="false">
      <c r="A25" s="12" t="s">
        <v>212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2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213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214</v>
      </c>
      <c r="B4" s="4" t="s">
        <v>3</v>
      </c>
      <c r="C4" s="4" t="s">
        <v>215</v>
      </c>
    </row>
    <row r="5" customFormat="false" ht="15" hidden="false" customHeight="false" outlineLevel="0" collapsed="false">
      <c r="A5" s="0" t="s">
        <v>216</v>
      </c>
      <c r="B5" s="36" t="n">
        <f aca="false">Assumptions!$B$27/Assumptions!$B$29</f>
        <v>1004.7619047619</v>
      </c>
      <c r="C5" s="7" t="s">
        <v>217</v>
      </c>
    </row>
    <row r="6" customFormat="false" ht="23.85" hidden="false" customHeight="false" outlineLevel="0" collapsed="false">
      <c r="A6" s="0" t="s">
        <v>218</v>
      </c>
      <c r="B6" s="36" t="n">
        <f aca="false">Assumptions!$B$27-Assumptions!$B$28</f>
        <v>1000</v>
      </c>
      <c r="C6" s="7" t="s">
        <v>219</v>
      </c>
    </row>
    <row r="7" customFormat="false" ht="15" hidden="false" customHeight="false" outlineLevel="0" collapsed="false">
      <c r="A7" s="0" t="s">
        <v>220</v>
      </c>
      <c r="B7" s="36" t="n">
        <f aca="false">Assumptions!$B$30*(1+Assumptions!$B$58)^2</f>
        <v>2904</v>
      </c>
      <c r="C7" s="7" t="s">
        <v>221</v>
      </c>
    </row>
    <row r="8" customFormat="false" ht="15" hidden="false" customHeight="false" outlineLevel="0" collapsed="false">
      <c r="A8" s="0" t="s">
        <v>222</v>
      </c>
      <c r="B8" s="25" t="n">
        <f aca="false">B7*(1+Assumptions!$B$58)</f>
        <v>3194.4</v>
      </c>
      <c r="C8" s="7" t="s">
        <v>223</v>
      </c>
    </row>
    <row r="9" customFormat="false" ht="15" hidden="false" customHeight="false" outlineLevel="0" collapsed="false">
      <c r="A9" s="0" t="s">
        <v>224</v>
      </c>
      <c r="B9" s="25" t="n">
        <f aca="false">B5*(1+Assumptions!$B$58)</f>
        <v>1105.2380952381</v>
      </c>
      <c r="C9" s="7"/>
    </row>
    <row r="10" customFormat="false" ht="15" hidden="false" customHeight="false" outlineLevel="0" collapsed="false">
      <c r="A10" s="0" t="s">
        <v>225</v>
      </c>
      <c r="B10" s="25" t="n">
        <f aca="false">B9+Assumptions!$B$59</f>
        <v>1185.2380952381</v>
      </c>
      <c r="C10" s="7" t="s">
        <v>226</v>
      </c>
    </row>
    <row r="11" customFormat="false" ht="15" hidden="false" customHeight="false" outlineLevel="0" collapsed="false">
      <c r="A11" s="0" t="s">
        <v>227</v>
      </c>
      <c r="B11" s="30" t="n">
        <f aca="false">Assumptions!$B$33/Assumptions!$B$61</f>
        <v>22</v>
      </c>
      <c r="C11" s="7" t="s">
        <v>228</v>
      </c>
    </row>
    <row r="12" customFormat="false" ht="15" hidden="false" customHeight="false" outlineLevel="0" collapsed="false">
      <c r="A12" s="0" t="s">
        <v>229</v>
      </c>
      <c r="B12" s="26" t="n">
        <f aca="false">B11/Assumptions!$B$13</f>
        <v>0.0390389324626468</v>
      </c>
      <c r="C12" s="7"/>
    </row>
    <row r="13" customFormat="false" ht="15" hidden="false" customHeight="false" outlineLevel="0" collapsed="false">
      <c r="A13" s="0" t="s">
        <v>230</v>
      </c>
      <c r="B13" s="25" t="n">
        <f aca="false">(Assumptions!$B$32-Assumptions!$B$63)*Assumptions!$B$60</f>
        <v>535.5</v>
      </c>
      <c r="C13" s="7" t="s">
        <v>231</v>
      </c>
    </row>
    <row r="14" customFormat="false" ht="15" hidden="false" customHeight="false" outlineLevel="0" collapsed="false">
      <c r="A14" s="0" t="s">
        <v>232</v>
      </c>
      <c r="B14" s="25" t="n">
        <f aca="false">(B10-B13)*(1-Assumptions!$B$50)</f>
        <v>493.800952380953</v>
      </c>
      <c r="C14" s="7"/>
    </row>
    <row r="15" customFormat="false" ht="15" hidden="false" customHeight="false" outlineLevel="0" collapsed="false">
      <c r="A15" s="0" t="s">
        <v>233</v>
      </c>
      <c r="B15" s="36" t="n">
        <f aca="false">Assumptions!$B$64*(1-Assumptions!$B$50)</f>
        <v>456</v>
      </c>
      <c r="C15" s="7" t="s">
        <v>234</v>
      </c>
    </row>
    <row r="16" customFormat="false" ht="15" hidden="false" customHeight="false" outlineLevel="0" collapsed="false">
      <c r="A16" s="0" t="s">
        <v>235</v>
      </c>
      <c r="B16" s="30" t="n">
        <f aca="false">Assumptions!$B$54-Assumptions!$B$62+B11</f>
        <v>583.9</v>
      </c>
      <c r="C16" s="7" t="s">
        <v>236</v>
      </c>
    </row>
    <row r="17" customFormat="false" ht="15" hidden="false" customHeight="false" outlineLevel="0" collapsed="false">
      <c r="A17" s="0" t="s">
        <v>237</v>
      </c>
      <c r="B17" s="26" t="n">
        <f aca="false">Financials!G15/Financials!F15-1</f>
        <v>-0.0389271062227662</v>
      </c>
      <c r="C17" s="7" t="s">
        <v>238</v>
      </c>
    </row>
    <row r="18" customFormat="false" ht="15" hidden="false" customHeight="false" outlineLevel="0" collapsed="false">
      <c r="A18" s="0" t="s">
        <v>239</v>
      </c>
      <c r="B18" s="32" t="n">
        <f aca="false">(Financials!G13+B15+Assumptions!$B$46*(1-Assumptions!$B$50))/B16</f>
        <v>13.931872700404</v>
      </c>
      <c r="C18" s="7"/>
    </row>
    <row r="19" customFormat="false" ht="15" hidden="false" customHeight="false" outlineLevel="0" collapsed="false">
      <c r="A19" s="0" t="s">
        <v>240</v>
      </c>
      <c r="B19" s="32" t="n">
        <f aca="false">(Financials!F13+Assumptions!$B$46*(1-Assumptions!$B$50))/Financials!F14</f>
        <v>13.6862251789091</v>
      </c>
      <c r="C19" s="7"/>
    </row>
    <row r="20" customFormat="false" ht="15" hidden="false" customHeight="false" outlineLevel="0" collapsed="false">
      <c r="A20" s="0" t="s">
        <v>241</v>
      </c>
      <c r="B20" s="26" t="n">
        <f aca="false">B18/B19-1</f>
        <v>0.0179485225680387</v>
      </c>
      <c r="C20" s="7" t="s">
        <v>242</v>
      </c>
    </row>
    <row r="21" customFormat="false" ht="15" hidden="false" customHeight="false" outlineLevel="0" collapsed="false">
      <c r="A21" s="0" t="s">
        <v>243</v>
      </c>
      <c r="B21" s="36" t="n">
        <f aca="false">Assumptions!$B$21+Assumptions!$B$34+Assumptions!$B$35-Assumptions!$B$65</f>
        <v>14994.2070191026</v>
      </c>
      <c r="C21" s="7" t="s">
        <v>244</v>
      </c>
    </row>
    <row r="22" customFormat="false" ht="15" hidden="false" customHeight="false" outlineLevel="0" collapsed="false">
      <c r="A22" s="0" t="s">
        <v>245</v>
      </c>
      <c r="B22" s="25" t="n">
        <f aca="false">B21+Assumptions!$B$36-Assumptions!$B$66+Assumptions!$B$67</f>
        <v>15494.2070191026</v>
      </c>
      <c r="C22" s="7" t="s">
        <v>246</v>
      </c>
    </row>
    <row r="23" customFormat="false" ht="15" hidden="false" customHeight="false" outlineLevel="0" collapsed="false">
      <c r="A23" s="0" t="s">
        <v>247</v>
      </c>
      <c r="B23" s="25" t="n">
        <f aca="false">B22+Assumptions!$B$31-Assumptions!$B$33</f>
        <v>31994.2070191026</v>
      </c>
      <c r="C23" s="7" t="s">
        <v>248</v>
      </c>
    </row>
    <row r="24" customFormat="false" ht="15" hidden="false" customHeight="false" outlineLevel="0" collapsed="false">
      <c r="A24" s="0" t="s">
        <v>249</v>
      </c>
      <c r="B24" s="33" t="n">
        <f aca="false">Assumptions!$B$20/Assumptions!$B$19</f>
        <v>1.82460106382979</v>
      </c>
      <c r="C24" s="7" t="s">
        <v>250</v>
      </c>
    </row>
    <row r="25" customFormat="false" ht="15" hidden="false" customHeight="false" outlineLevel="0" collapsed="false">
      <c r="A25" s="0" t="s">
        <v>251</v>
      </c>
      <c r="B25" s="35" t="n">
        <f aca="false">B23/(Financials!E8+B5)</f>
        <v>2.96044517511618</v>
      </c>
      <c r="C25" s="7"/>
    </row>
    <row r="28" customFormat="false" ht="15" hidden="false" customHeight="false" outlineLevel="0" collapsed="false">
      <c r="A28" s="12" t="s">
        <v>252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19" min="2" style="0" width="12"/>
  </cols>
  <sheetData>
    <row r="1" customFormat="false" ht="15" hidden="false" customHeight="false" outlineLevel="0" collapsed="false">
      <c r="A1" s="1" t="s">
        <v>253</v>
      </c>
    </row>
    <row r="2" customFormat="false" ht="15" hidden="false" customHeight="false" outlineLevel="0" collapsed="false">
      <c r="A2" s="2" t="s">
        <v>1</v>
      </c>
    </row>
    <row r="4" customFormat="false" ht="35.05" hidden="false" customHeight="false" outlineLevel="0" collapsed="false">
      <c r="A4" s="3" t="s">
        <v>254</v>
      </c>
      <c r="B4" s="4" t="s">
        <v>255</v>
      </c>
      <c r="C4" s="4" t="s">
        <v>256</v>
      </c>
      <c r="D4" s="4" t="s">
        <v>257</v>
      </c>
      <c r="E4" s="4" t="s">
        <v>258</v>
      </c>
      <c r="F4" s="4" t="s">
        <v>259</v>
      </c>
      <c r="G4" s="4" t="s">
        <v>260</v>
      </c>
      <c r="H4" s="4" t="s">
        <v>261</v>
      </c>
      <c r="I4" s="4" t="s">
        <v>262</v>
      </c>
      <c r="J4" s="4" t="s">
        <v>263</v>
      </c>
      <c r="K4" s="4" t="s">
        <v>264</v>
      </c>
      <c r="L4" s="4" t="s">
        <v>265</v>
      </c>
      <c r="M4" s="4" t="s">
        <v>266</v>
      </c>
      <c r="N4" s="4" t="s">
        <v>267</v>
      </c>
      <c r="O4" s="4" t="s">
        <v>268</v>
      </c>
      <c r="P4" s="4" t="s">
        <v>269</v>
      </c>
      <c r="Q4" s="4" t="s">
        <v>270</v>
      </c>
      <c r="R4" s="4" t="s">
        <v>271</v>
      </c>
      <c r="S4" s="4" t="s">
        <v>272</v>
      </c>
    </row>
    <row r="5" customFormat="false" ht="15" hidden="false" customHeight="false" outlineLevel="0" collapsed="false">
      <c r="A5" s="5" t="s">
        <v>273</v>
      </c>
      <c r="B5" s="37" t="n">
        <v>0.04</v>
      </c>
      <c r="C5" s="37" t="n">
        <v>0.03</v>
      </c>
      <c r="D5" s="17" t="n">
        <v>0</v>
      </c>
      <c r="E5" s="17" t="n">
        <v>0</v>
      </c>
      <c r="F5" s="38" t="n">
        <v>0</v>
      </c>
      <c r="G5" s="19" t="n">
        <v>18</v>
      </c>
      <c r="H5" s="39" t="n">
        <f aca="false">Financials!$D$5*(1+B5)</f>
        <v>46301.0496</v>
      </c>
      <c r="I5" s="40" t="n">
        <f aca="false">Assumptions!$B$39+D5</f>
        <v>0.196</v>
      </c>
      <c r="J5" s="39" t="n">
        <f aca="false">H5*(1+C5)</f>
        <v>47690.081088</v>
      </c>
      <c r="K5" s="40" t="n">
        <f aca="false">I5+E5</f>
        <v>0.196</v>
      </c>
      <c r="L5" s="39" t="n">
        <f aca="false">J5*K5</f>
        <v>9347.255893248</v>
      </c>
      <c r="M5" s="39" t="n">
        <f aca="false">(L5-Assumptions!$B$46-Assumptions!$B$49)*(1-Assumptions!$B$50)-Assumptions!$B$53</f>
        <v>6211.11447886848</v>
      </c>
      <c r="N5" s="41" t="n">
        <f aca="false">M5/Assumptions!$B$56</f>
        <v>11.1250483232464</v>
      </c>
      <c r="O5" s="39" t="n">
        <f aca="false">M5+(PTC!$B$9+F5-PTC!$B$13)*(1-Assumptions!$B$50)-Assumptions!$B$64*(1-Assumptions!$B$50)</f>
        <v>6188.11543124943</v>
      </c>
      <c r="P5" s="41" t="n">
        <f aca="false">O5/PTC!$B$16</f>
        <v>10.5979027765875</v>
      </c>
      <c r="Q5" s="42" t="n">
        <f aca="false">P5*G5</f>
        <v>190.762249978575</v>
      </c>
      <c r="R5" s="40" t="n">
        <f aca="false">Q5/Assumptions!$B$7-1</f>
        <v>-0.267707293748273</v>
      </c>
      <c r="S5" s="42" t="n">
        <f aca="false">N5*G5</f>
        <v>200.250869818436</v>
      </c>
    </row>
    <row r="6" customFormat="false" ht="15" hidden="false" customHeight="false" outlineLevel="0" collapsed="false">
      <c r="A6" s="5" t="s">
        <v>274</v>
      </c>
      <c r="B6" s="43" t="n">
        <f aca="false">Assumptions!$B$40</f>
        <v>0.09</v>
      </c>
      <c r="C6" s="43" t="n">
        <f aca="false">Assumptions!$B$41</f>
        <v>0.08</v>
      </c>
      <c r="D6" s="43" t="n">
        <f aca="false">Assumptions!$B$42</f>
        <v>0.006</v>
      </c>
      <c r="E6" s="43" t="n">
        <f aca="false">Assumptions!$B$43</f>
        <v>0.005</v>
      </c>
      <c r="F6" s="44" t="n">
        <f aca="false">Assumptions!$B$59</f>
        <v>80</v>
      </c>
      <c r="G6" s="45" t="n">
        <f aca="false">Assumptions!$B$57</f>
        <v>22</v>
      </c>
      <c r="H6" s="39" t="n">
        <f aca="false">Financials!$D$5*(1+B6)</f>
        <v>48527.0616</v>
      </c>
      <c r="I6" s="40" t="n">
        <f aca="false">Assumptions!$B$39+D6</f>
        <v>0.202</v>
      </c>
      <c r="J6" s="39" t="n">
        <f aca="false">H6*(1+C6)</f>
        <v>52409.226528</v>
      </c>
      <c r="K6" s="40" t="n">
        <f aca="false">I6+E6</f>
        <v>0.207</v>
      </c>
      <c r="L6" s="39" t="n">
        <f aca="false">J6*K6</f>
        <v>10848.709891296</v>
      </c>
      <c r="M6" s="39" t="n">
        <f aca="false">(L6-Assumptions!$B$46-Assumptions!$B$49)*(1-Assumptions!$B$50)-Assumptions!$B$53</f>
        <v>7352.21951738496</v>
      </c>
      <c r="N6" s="41" t="n">
        <f aca="false">M6/Assumptions!$B$56</f>
        <v>13.1689405649023</v>
      </c>
      <c r="O6" s="39" t="n">
        <f aca="false">M6+(PTC!$B$9+F6-PTC!$B$13)*(1-Assumptions!$B$50)-Assumptions!$B$64*(1-Assumptions!$B$50)</f>
        <v>7390.02046976592</v>
      </c>
      <c r="P6" s="41" t="n">
        <f aca="false">O6/PTC!$B$16</f>
        <v>12.6563118166911</v>
      </c>
      <c r="Q6" s="42" t="n">
        <f aca="false">P6*G6</f>
        <v>278.438859967204</v>
      </c>
      <c r="R6" s="40" t="n">
        <f aca="false">Q6/Assumptions!$B$7-1</f>
        <v>0.0688631860545241</v>
      </c>
      <c r="S6" s="42" t="n">
        <f aca="false">N6*G6</f>
        <v>289.716692427851</v>
      </c>
    </row>
    <row r="7" customFormat="false" ht="15" hidden="false" customHeight="false" outlineLevel="0" collapsed="false">
      <c r="A7" s="5" t="s">
        <v>275</v>
      </c>
      <c r="B7" s="37" t="n">
        <v>0.11</v>
      </c>
      <c r="C7" s="37" t="n">
        <v>0.1</v>
      </c>
      <c r="D7" s="17" t="n">
        <v>0.008</v>
      </c>
      <c r="E7" s="17" t="n">
        <v>0.008</v>
      </c>
      <c r="F7" s="38" t="n">
        <v>160</v>
      </c>
      <c r="G7" s="19" t="n">
        <v>25</v>
      </c>
      <c r="H7" s="39" t="n">
        <f aca="false">Financials!$D$5*(1+B7)</f>
        <v>49417.4664</v>
      </c>
      <c r="I7" s="40" t="n">
        <f aca="false">Assumptions!$B$39+D7</f>
        <v>0.204</v>
      </c>
      <c r="J7" s="39" t="n">
        <f aca="false">H7*(1+C7)</f>
        <v>54359.21304</v>
      </c>
      <c r="K7" s="40" t="n">
        <f aca="false">I7+E7</f>
        <v>0.212</v>
      </c>
      <c r="L7" s="39" t="n">
        <f aca="false">J7*K7</f>
        <v>11524.15316448</v>
      </c>
      <c r="M7" s="39" t="n">
        <f aca="false">(L7-Assumptions!$B$46-Assumptions!$B$49)*(1-Assumptions!$B$50)-Assumptions!$B$53</f>
        <v>7865.5564050048</v>
      </c>
      <c r="N7" s="41" t="n">
        <f aca="false">M7/Assumptions!$B$56</f>
        <v>14.088404809251</v>
      </c>
      <c r="O7" s="39" t="n">
        <f aca="false">M7+(PTC!$B$9+F7-PTC!$B$13)*(1-Assumptions!$B$50)-Assumptions!$B$64*(1-Assumptions!$B$50)</f>
        <v>7964.15735738576</v>
      </c>
      <c r="P7" s="41" t="n">
        <f aca="false">O7/PTC!$B$16</f>
        <v>13.6395912954029</v>
      </c>
      <c r="Q7" s="42" t="n">
        <f aca="false">P7*G7</f>
        <v>340.989782385073</v>
      </c>
      <c r="R7" s="40" t="n">
        <f aca="false">Q7/Assumptions!$B$7-1</f>
        <v>0.30898189015383</v>
      </c>
      <c r="S7" s="42" t="n">
        <f aca="false">N7*G7</f>
        <v>352.210120231274</v>
      </c>
    </row>
    <row r="8" customFormat="false" ht="15" hidden="false" customHeight="false" outlineLevel="0" collapsed="false">
      <c r="A8" s="5" t="s">
        <v>276</v>
      </c>
      <c r="B8" s="37" t="n">
        <v>0.0532</v>
      </c>
      <c r="C8" s="37" t="n">
        <v>0.0532</v>
      </c>
      <c r="D8" s="17" t="n">
        <v>0.006</v>
      </c>
      <c r="E8" s="17" t="n">
        <v>0.005</v>
      </c>
      <c r="F8" s="38" t="n">
        <v>80</v>
      </c>
      <c r="G8" s="19" t="n">
        <v>22</v>
      </c>
      <c r="H8" s="39" t="n">
        <f aca="false">Financials!$D$5*(1+B8)</f>
        <v>46888.716768</v>
      </c>
      <c r="I8" s="40" t="n">
        <f aca="false">Assumptions!$B$39+D8</f>
        <v>0.202</v>
      </c>
      <c r="J8" s="39" t="n">
        <f aca="false">H8*(1+C8)</f>
        <v>49383.1965000576</v>
      </c>
      <c r="K8" s="40" t="n">
        <f aca="false">I8+E8</f>
        <v>0.207</v>
      </c>
      <c r="L8" s="39" t="n">
        <f aca="false">J8*K8</f>
        <v>10222.3216755119</v>
      </c>
      <c r="M8" s="39" t="n">
        <f aca="false">(L8-Assumptions!$B$46-Assumptions!$B$49)*(1-Assumptions!$B$50)-Assumptions!$B$53</f>
        <v>6876.16447338906</v>
      </c>
      <c r="N8" s="41" t="n">
        <f aca="false">M8/Assumptions!$B$56</f>
        <v>12.3162537585332</v>
      </c>
      <c r="O8" s="39" t="n">
        <f aca="false">M8+(PTC!$B$9+F8-PTC!$B$13)*(1-Assumptions!$B$50)-Assumptions!$B$64*(1-Assumptions!$B$50)</f>
        <v>6913.96542577001</v>
      </c>
      <c r="P8" s="41" t="n">
        <f aca="false">O8/PTC!$B$16</f>
        <v>11.8410094635554</v>
      </c>
      <c r="Q8" s="42" t="n">
        <f aca="false">P8*G8</f>
        <v>260.502208198219</v>
      </c>
      <c r="R8" s="40" t="n">
        <f aca="false">Q8/Assumptions!$B$7-1</f>
        <v>8.47676859661029E-006</v>
      </c>
      <c r="S8" s="42" t="n">
        <f aca="false">N8*G8</f>
        <v>270.95758268773</v>
      </c>
    </row>
    <row r="10" customFormat="false" ht="15" hidden="false" customHeight="false" outlineLevel="0" collapsed="false">
      <c r="B10" s="5" t="s">
        <v>273</v>
      </c>
      <c r="C10" s="5" t="s">
        <v>274</v>
      </c>
      <c r="D10" s="5" t="s">
        <v>275</v>
      </c>
    </row>
    <row r="11" customFormat="false" ht="15" hidden="false" customHeight="false" outlineLevel="0" collapsed="false">
      <c r="A11" s="5" t="s">
        <v>277</v>
      </c>
      <c r="B11" s="46" t="n">
        <v>0.25</v>
      </c>
      <c r="C11" s="46" t="n">
        <v>0.5</v>
      </c>
      <c r="D11" s="46" t="n">
        <v>0.25</v>
      </c>
      <c r="E11" s="47" t="n">
        <f aca="false">SUM(B11:D11)</f>
        <v>1</v>
      </c>
      <c r="F11" s="12" t="s">
        <v>278</v>
      </c>
    </row>
    <row r="13" customFormat="false" ht="15" hidden="false" customHeight="false" outlineLevel="0" collapsed="false">
      <c r="A13" s="5" t="s">
        <v>18</v>
      </c>
      <c r="Q13" s="48" t="n">
        <f aca="false">B11*Q5+C11*Q6+D11*Q7</f>
        <v>272.157438074514</v>
      </c>
      <c r="R13" s="40" t="n">
        <f aca="false">Q13/Assumptions!$B$7-1</f>
        <v>0.044750242128651</v>
      </c>
    </row>
    <row r="15" customFormat="false" ht="15" hidden="false" customHeight="false" outlineLevel="0" collapsed="false">
      <c r="A15" s="12" t="s">
        <v>279</v>
      </c>
    </row>
    <row r="16" customFormat="false" ht="15" hidden="false" customHeight="false" outlineLevel="0" collapsed="false">
      <c r="A16" s="12" t="s">
        <v>280</v>
      </c>
    </row>
    <row r="17" customFormat="false" ht="15" hidden="false" customHeight="false" outlineLevel="0" collapsed="false">
      <c r="A17" s="12" t="s">
        <v>281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2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282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214</v>
      </c>
      <c r="B4" s="4" t="s">
        <v>3</v>
      </c>
      <c r="C4" s="4" t="s">
        <v>215</v>
      </c>
    </row>
    <row r="5" customFormat="false" ht="15" hidden="false" customHeight="false" outlineLevel="0" collapsed="false">
      <c r="A5" s="5" t="s">
        <v>14</v>
      </c>
      <c r="B5" s="48" t="n">
        <f aca="false">Scenarios!Q6</f>
        <v>278.438859967204</v>
      </c>
      <c r="C5" s="7" t="s">
        <v>15</v>
      </c>
    </row>
    <row r="6" customFormat="false" ht="15" hidden="false" customHeight="false" outlineLevel="0" collapsed="false">
      <c r="A6" s="0" t="s">
        <v>17</v>
      </c>
      <c r="B6" s="42" t="n">
        <f aca="false">Scenarios!S6</f>
        <v>289.716692427851</v>
      </c>
      <c r="C6" s="7" t="s">
        <v>283</v>
      </c>
    </row>
    <row r="7" customFormat="false" ht="15" hidden="false" customHeight="false" outlineLevel="0" collapsed="false">
      <c r="A7" s="0" t="s">
        <v>284</v>
      </c>
      <c r="B7" s="42" t="n">
        <f aca="false">B6-B5</f>
        <v>11.2778324606475</v>
      </c>
      <c r="C7" s="7"/>
    </row>
    <row r="8" customFormat="false" ht="15" hidden="false" customHeight="false" outlineLevel="0" collapsed="false">
      <c r="A8" s="0" t="s">
        <v>12</v>
      </c>
      <c r="B8" s="42" t="n">
        <f aca="false">Assumptions!$B$7</f>
        <v>260.5</v>
      </c>
      <c r="C8" s="7" t="s">
        <v>13</v>
      </c>
    </row>
    <row r="9" customFormat="false" ht="15" hidden="false" customHeight="false" outlineLevel="0" collapsed="false">
      <c r="A9" s="0" t="s">
        <v>16</v>
      </c>
      <c r="B9" s="40" t="n">
        <f aca="false">B5/B8-1</f>
        <v>0.0688631860545241</v>
      </c>
      <c r="C9" s="7"/>
    </row>
    <row r="10" customFormat="false" ht="15" hidden="false" customHeight="false" outlineLevel="0" collapsed="false">
      <c r="A10" s="0" t="s">
        <v>285</v>
      </c>
      <c r="B10" s="40" t="n">
        <f aca="false">B6/B8-1</f>
        <v>0.112156208936088</v>
      </c>
      <c r="C10" s="7"/>
    </row>
    <row r="11" customFormat="false" ht="15" hidden="false" customHeight="false" outlineLevel="0" collapsed="false">
      <c r="A11" s="0" t="s">
        <v>18</v>
      </c>
      <c r="B11" s="42" t="n">
        <f aca="false">Scenarios!Q13</f>
        <v>272.157438074514</v>
      </c>
      <c r="C11" s="7"/>
    </row>
    <row r="12" customFormat="false" ht="15" hidden="false" customHeight="false" outlineLevel="0" collapsed="false">
      <c r="A12" s="0" t="s">
        <v>286</v>
      </c>
      <c r="B12" s="0" t="str">
        <f aca="false">IF(B9&gt;=0.15,"LONG",IF(B9&lt;=-0.25,"SHORT","NO CALL"))</f>
        <v>NO CALL</v>
      </c>
      <c r="C12" s="7" t="s">
        <v>287</v>
      </c>
    </row>
    <row r="13" customFormat="false" ht="15" hidden="false" customHeight="false" outlineLevel="0" collapsed="false">
      <c r="A13" s="5" t="s">
        <v>288</v>
      </c>
      <c r="B13" s="49" t="s">
        <v>289</v>
      </c>
      <c r="C13" s="7" t="s">
        <v>6</v>
      </c>
    </row>
    <row r="14" customFormat="false" ht="15" hidden="false" customHeight="false" outlineLevel="0" collapsed="false">
      <c r="A14" s="0" t="s">
        <v>7</v>
      </c>
      <c r="B14" s="50" t="s">
        <v>290</v>
      </c>
      <c r="C14" s="7" t="s">
        <v>291</v>
      </c>
    </row>
    <row r="15" customFormat="false" ht="15" hidden="false" customHeight="false" outlineLevel="0" collapsed="false">
      <c r="A15" s="0" t="s">
        <v>292</v>
      </c>
      <c r="B15" s="42" t="n">
        <f aca="false">B5/1.15</f>
        <v>242.120747797568</v>
      </c>
      <c r="C15" s="7"/>
    </row>
    <row r="16" customFormat="false" ht="15" hidden="false" customHeight="false" outlineLevel="0" collapsed="false">
      <c r="A16" s="0" t="s">
        <v>293</v>
      </c>
      <c r="B16" s="42" t="n">
        <f aca="false">B5/0.75</f>
        <v>371.251813289605</v>
      </c>
      <c r="C16" s="7"/>
    </row>
    <row r="17" customFormat="false" ht="15" hidden="false" customHeight="false" outlineLevel="0" collapsed="false">
      <c r="A17" s="0" t="s">
        <v>294</v>
      </c>
      <c r="B17" s="51" t="n">
        <f aca="false">Assumptions!$B$7*Assumptions!$B$13/1000</f>
        <v>146.80217</v>
      </c>
      <c r="C17" s="7"/>
    </row>
    <row r="18" customFormat="false" ht="15" hidden="false" customHeight="false" outlineLevel="0" collapsed="false">
      <c r="A18" s="0" t="s">
        <v>295</v>
      </c>
      <c r="B18" s="51" t="n">
        <f aca="false">Assumptions!$B$8*Assumptions!$B$13/1000</f>
        <v>170.75262</v>
      </c>
      <c r="C18" s="7"/>
    </row>
    <row r="19" customFormat="false" ht="15" hidden="false" customHeight="false" outlineLevel="0" collapsed="false">
      <c r="A19" s="0" t="s">
        <v>296</v>
      </c>
      <c r="B19" s="51" t="n">
        <f aca="false">B18-B17</f>
        <v>23.95045</v>
      </c>
      <c r="C19" s="7" t="s">
        <v>297</v>
      </c>
    </row>
    <row r="20" customFormat="false" ht="15" hidden="false" customHeight="false" outlineLevel="0" collapsed="false">
      <c r="A20" s="0" t="s">
        <v>298</v>
      </c>
      <c r="B20" s="40" t="n">
        <f aca="false">Assumptions!$B$7/Assumptions!$B$8-1</f>
        <v>-0.14026402640264</v>
      </c>
      <c r="C20" s="7"/>
    </row>
    <row r="21" customFormat="false" ht="15" hidden="false" customHeight="false" outlineLevel="0" collapsed="false">
      <c r="A21" s="0" t="s">
        <v>299</v>
      </c>
      <c r="B21" s="40" t="n">
        <f aca="false">Assumptions!$B$12/Assumptions!$B$11-1</f>
        <v>0.026634382566586</v>
      </c>
      <c r="C21" s="7" t="s">
        <v>300</v>
      </c>
    </row>
    <row r="22" customFormat="false" ht="15" hidden="false" customHeight="false" outlineLevel="0" collapsed="false">
      <c r="A22" s="0" t="s">
        <v>301</v>
      </c>
      <c r="B22" s="52" t="n">
        <f aca="false">Financials!D20</f>
        <v>25.0240153698367</v>
      </c>
      <c r="C22" s="7"/>
    </row>
    <row r="23" customFormat="false" ht="15" hidden="false" customHeight="false" outlineLevel="0" collapsed="false">
      <c r="A23" s="0" t="s">
        <v>302</v>
      </c>
      <c r="B23" s="52" t="n">
        <f aca="false">Financials!E20</f>
        <v>21.0420032310178</v>
      </c>
      <c r="C23" s="7"/>
    </row>
    <row r="24" customFormat="false" ht="15" hidden="false" customHeight="false" outlineLevel="0" collapsed="false">
      <c r="A24" s="0" t="s">
        <v>303</v>
      </c>
      <c r="B24" s="52" t="n">
        <f aca="false">Assumptions!$B$8/Assumptions!$B$15</f>
        <v>24.4749596122779</v>
      </c>
      <c r="C24" s="7"/>
    </row>
    <row r="25" customFormat="false" ht="15" hidden="false" customHeight="false" outlineLevel="0" collapsed="false">
      <c r="A25" s="0" t="s">
        <v>304</v>
      </c>
      <c r="B25" s="52" t="n">
        <f aca="false">Financials!G17</f>
        <v>20.5826155180891</v>
      </c>
      <c r="C25" s="7"/>
    </row>
    <row r="26" customFormat="false" ht="15" hidden="false" customHeight="false" outlineLevel="0" collapsed="false">
      <c r="A26" s="0" t="s">
        <v>305</v>
      </c>
      <c r="B26" s="41" t="n">
        <f aca="false">Assumptions!$B$7/Assumptions!$B$57</f>
        <v>11.8409090909091</v>
      </c>
      <c r="C26" s="7"/>
    </row>
    <row r="27" customFormat="false" ht="15" hidden="false" customHeight="false" outlineLevel="0" collapsed="false">
      <c r="A27" s="0" t="s">
        <v>306</v>
      </c>
      <c r="B27" s="40" t="n">
        <f aca="false">Scenarios!B8</f>
        <v>0.0532</v>
      </c>
      <c r="C27" s="7" t="s">
        <v>307</v>
      </c>
    </row>
    <row r="28" customFormat="false" ht="15" hidden="false" customHeight="false" outlineLevel="0" collapsed="false">
      <c r="A28" s="0" t="s">
        <v>308</v>
      </c>
      <c r="B28" s="52" t="n">
        <f aca="false">Peers!E11</f>
        <v>25.8871473354232</v>
      </c>
      <c r="C28" s="7"/>
    </row>
    <row r="29" customFormat="false" ht="15" hidden="false" customHeight="false" outlineLevel="0" collapsed="false">
      <c r="A29" s="0" t="s">
        <v>309</v>
      </c>
      <c r="B29" s="42" t="n">
        <f aca="false">Financials!D15*B28</f>
        <v>265.385137557106</v>
      </c>
      <c r="C29" s="7" t="s">
        <v>310</v>
      </c>
    </row>
    <row r="30" customFormat="false" ht="15" hidden="false" customHeight="false" outlineLevel="0" collapsed="false">
      <c r="A30" s="0" t="s">
        <v>311</v>
      </c>
      <c r="B30" s="40" t="n">
        <f aca="false">Assumptions!$B$7/Assumptions!$B$9-1</f>
        <v>-0.162379421221865</v>
      </c>
      <c r="C30" s="7"/>
    </row>
    <row r="31" customFormat="false" ht="15" hidden="false" customHeight="false" outlineLevel="0" collapsed="false">
      <c r="A31" s="0" t="s">
        <v>312</v>
      </c>
      <c r="B31" s="40" t="n">
        <f aca="false">Assumptions!$B$7/Assumptions!$B$10-1</f>
        <v>0.108982545764155</v>
      </c>
      <c r="C31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313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314</v>
      </c>
      <c r="B4" s="53" t="n">
        <v>18</v>
      </c>
      <c r="C4" s="53" t="n">
        <f aca="false">Assumptions!$B$57</f>
        <v>22</v>
      </c>
      <c r="D4" s="53" t="n">
        <v>26</v>
      </c>
    </row>
    <row r="5" customFormat="false" ht="15" hidden="false" customHeight="false" outlineLevel="0" collapsed="false">
      <c r="A5" s="43" t="n">
        <f aca="false">Financials!$F$7-0.01</f>
        <v>0.197</v>
      </c>
      <c r="B5" s="54" t="n">
        <f aca="false">(((Financials!$F$5*$A5-Assumptions!$B$46-Assumptions!$B$49)*(1-Assumptions!$B$50)-Assumptions!$B$53)+PTC!$B$14-PTC!$B$15)/PTC!$B$16*B$4</f>
        <v>215.534828338339</v>
      </c>
      <c r="C5" s="54" t="n">
        <f aca="false">(((Financials!$F$5*$A5-Assumptions!$B$46-Assumptions!$B$49)*(1-Assumptions!$B$50)-Assumptions!$B$53)+PTC!$B$14-PTC!$B$15)/PTC!$B$16*C$4</f>
        <v>263.43145685797</v>
      </c>
      <c r="D5" s="54" t="n">
        <f aca="false">(((Financials!$F$5*$A5-Assumptions!$B$46-Assumptions!$B$49)*(1-Assumptions!$B$50)-Assumptions!$B$53)+PTC!$B$14-PTC!$B$15)/PTC!$B$16*D$4</f>
        <v>311.328085377601</v>
      </c>
    </row>
    <row r="6" customFormat="false" ht="15" hidden="false" customHeight="false" outlineLevel="0" collapsed="false">
      <c r="A6" s="43" t="n">
        <f aca="false">Financials!$F$7</f>
        <v>0.207</v>
      </c>
      <c r="B6" s="54" t="n">
        <f aca="false">(((Financials!$F$5*$A6-Assumptions!$B$46-Assumptions!$B$49)*(1-Assumptions!$B$50)-Assumptions!$B$53)+PTC!$B$14-PTC!$B$15)/PTC!$B$16*B$4</f>
        <v>227.813612700439</v>
      </c>
      <c r="C6" s="55" t="n">
        <f aca="false">(((Financials!$F$5*$A6-Assumptions!$B$46-Assumptions!$B$49)*(1-Assumptions!$B$50)-Assumptions!$B$53)+PTC!$B$14-PTC!$B$15)/PTC!$B$16*C$4</f>
        <v>278.438859967204</v>
      </c>
      <c r="D6" s="54" t="n">
        <f aca="false">(((Financials!$F$5*$A6-Assumptions!$B$46-Assumptions!$B$49)*(1-Assumptions!$B$50)-Assumptions!$B$53)+PTC!$B$14-PTC!$B$15)/PTC!$B$16*D$4</f>
        <v>329.064107233968</v>
      </c>
    </row>
    <row r="7" customFormat="false" ht="15" hidden="false" customHeight="false" outlineLevel="0" collapsed="false">
      <c r="A7" s="43" t="n">
        <f aca="false">Financials!$F$7+0.01</f>
        <v>0.217</v>
      </c>
      <c r="B7" s="54" t="n">
        <f aca="false">(((Financials!$F$5*$A7-Assumptions!$B$46-Assumptions!$B$49)*(1-Assumptions!$B$50)-Assumptions!$B$53)+PTC!$B$14-PTC!$B$15)/PTC!$B$16*B$4</f>
        <v>240.09239706254</v>
      </c>
      <c r="C7" s="54" t="n">
        <f aca="false">(((Financials!$F$5*$A7-Assumptions!$B$46-Assumptions!$B$49)*(1-Assumptions!$B$50)-Assumptions!$B$53)+PTC!$B$14-PTC!$B$15)/PTC!$B$16*C$4</f>
        <v>293.446263076437</v>
      </c>
      <c r="D7" s="54" t="n">
        <f aca="false">(((Financials!$F$5*$A7-Assumptions!$B$46-Assumptions!$B$49)*(1-Assumptions!$B$50)-Assumptions!$B$53)+PTC!$B$14-PTC!$B$15)/PTC!$B$16*D$4</f>
        <v>346.800129090335</v>
      </c>
    </row>
    <row r="9" customFormat="false" ht="15" hidden="false" customHeight="false" outlineLevel="0" collapsed="false">
      <c r="A9" s="5" t="s">
        <v>315</v>
      </c>
      <c r="B9" s="0" t="n">
        <f aca="false">COUNTIF(B5:D7,"&gt;"&amp;Assumptions!$B$7)</f>
        <v>6</v>
      </c>
      <c r="C9" s="0" t="s">
        <v>316</v>
      </c>
    </row>
    <row r="10" customFormat="false" ht="15" hidden="false" customHeight="false" outlineLevel="0" collapsed="false">
      <c r="A10" s="5" t="s">
        <v>317</v>
      </c>
      <c r="B10" s="0" t="n">
        <f aca="false">COUNTIF(B5:D7,"&gt;="&amp;Assumptions!$B$7*1.15)</f>
        <v>3</v>
      </c>
      <c r="C10" s="0" t="s">
        <v>316</v>
      </c>
    </row>
    <row r="11" customFormat="false" ht="15" hidden="false" customHeight="false" outlineLevel="0" collapsed="false">
      <c r="A11" s="5" t="s">
        <v>318</v>
      </c>
      <c r="B11" s="0" t="n">
        <f aca="false">COUNTIF(B5:D7,"&lt;="&amp;Assumptions!$B$7*0.75)</f>
        <v>0</v>
      </c>
      <c r="C11" s="0" t="s">
        <v>316</v>
      </c>
    </row>
    <row r="13" customFormat="false" ht="15" hidden="false" customHeight="false" outlineLevel="0" collapsed="false">
      <c r="A13" s="12" t="s">
        <v>319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5" min="3" style="0" width="12"/>
    <col collapsed="false" customWidth="true" hidden="false" outlineLevel="0" max="6" min="6" style="0" width="70"/>
  </cols>
  <sheetData>
    <row r="1" customFormat="false" ht="15" hidden="false" customHeight="false" outlineLevel="0" collapsed="false">
      <c r="A1" s="1" t="s">
        <v>320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321</v>
      </c>
      <c r="B4" s="4" t="s">
        <v>322</v>
      </c>
      <c r="C4" s="4" t="s">
        <v>323</v>
      </c>
      <c r="D4" s="4" t="s">
        <v>324</v>
      </c>
      <c r="E4" s="4" t="s">
        <v>325</v>
      </c>
      <c r="F4" s="4" t="s">
        <v>326</v>
      </c>
    </row>
    <row r="5" customFormat="false" ht="15" hidden="false" customHeight="false" outlineLevel="0" collapsed="false">
      <c r="A5" s="5" t="s">
        <v>327</v>
      </c>
      <c r="B5" s="0" t="s">
        <v>328</v>
      </c>
      <c r="C5" s="34" t="n">
        <f aca="false">Assumptions!$B$7</f>
        <v>260.5</v>
      </c>
      <c r="D5" s="34" t="n">
        <f aca="false">Assumptions!$B$14</f>
        <v>10.41</v>
      </c>
      <c r="E5" s="35" t="n">
        <f aca="false">C5/D5</f>
        <v>25.0240153698367</v>
      </c>
      <c r="F5" s="0" t="s">
        <v>329</v>
      </c>
    </row>
    <row r="6" customFormat="false" ht="15" hidden="false" customHeight="false" outlineLevel="0" collapsed="false">
      <c r="A6" s="0" t="s">
        <v>330</v>
      </c>
      <c r="B6" s="0" t="s">
        <v>331</v>
      </c>
      <c r="C6" s="31" t="n">
        <v>445.09</v>
      </c>
      <c r="D6" s="31" t="n">
        <v>13.57</v>
      </c>
      <c r="E6" s="35" t="n">
        <f aca="false">C6/D6</f>
        <v>32.7995578481945</v>
      </c>
      <c r="F6" s="7" t="s">
        <v>332</v>
      </c>
    </row>
    <row r="7" customFormat="false" ht="15" hidden="false" customHeight="false" outlineLevel="0" collapsed="false">
      <c r="A7" s="0" t="s">
        <v>333</v>
      </c>
      <c r="B7" s="0" t="s">
        <v>334</v>
      </c>
      <c r="C7" s="31" t="n">
        <v>253.14</v>
      </c>
      <c r="D7" s="31" t="n">
        <v>6.74</v>
      </c>
      <c r="E7" s="35" t="n">
        <f aca="false">C7/D7</f>
        <v>37.5578635014837</v>
      </c>
      <c r="F7" s="7" t="s">
        <v>335</v>
      </c>
    </row>
    <row r="8" customFormat="false" ht="15" hidden="false" customHeight="false" outlineLevel="0" collapsed="false">
      <c r="A8" s="0" t="s">
        <v>336</v>
      </c>
      <c r="B8" s="0" t="s">
        <v>337</v>
      </c>
      <c r="C8" s="31" t="n">
        <v>82.58</v>
      </c>
      <c r="D8" s="31" t="n">
        <v>3.19</v>
      </c>
      <c r="E8" s="35" t="n">
        <f aca="false">C8/D8</f>
        <v>25.8871473354232</v>
      </c>
      <c r="F8" s="7" t="s">
        <v>338</v>
      </c>
    </row>
    <row r="9" customFormat="false" ht="15" hidden="false" customHeight="false" outlineLevel="0" collapsed="false">
      <c r="A9" s="0" t="s">
        <v>339</v>
      </c>
      <c r="B9" s="0" t="s">
        <v>340</v>
      </c>
      <c r="C9" s="31" t="n">
        <v>278.55</v>
      </c>
      <c r="D9" s="31" t="n">
        <v>11.45</v>
      </c>
      <c r="E9" s="35" t="n">
        <f aca="false">C9/D9</f>
        <v>24.3275109170306</v>
      </c>
      <c r="F9" s="7" t="s">
        <v>341</v>
      </c>
    </row>
    <row r="10" customFormat="false" ht="15" hidden="false" customHeight="false" outlineLevel="0" collapsed="false">
      <c r="A10" s="0" t="s">
        <v>342</v>
      </c>
      <c r="B10" s="0" t="s">
        <v>343</v>
      </c>
      <c r="C10" s="31" t="n">
        <v>148.4</v>
      </c>
      <c r="D10" s="31" t="n">
        <v>6.01</v>
      </c>
      <c r="E10" s="35" t="n">
        <f aca="false">C10/D10</f>
        <v>24.6921797004992</v>
      </c>
      <c r="F10" s="7" t="s">
        <v>344</v>
      </c>
    </row>
    <row r="11" customFormat="false" ht="15" hidden="false" customHeight="false" outlineLevel="0" collapsed="false">
      <c r="A11" s="5" t="s">
        <v>345</v>
      </c>
      <c r="E11" s="52" t="n">
        <f aca="false">MEDIAN(E6:E10)</f>
        <v>25.8871473354232</v>
      </c>
    </row>
    <row r="13" customFormat="false" ht="15" hidden="false" customHeight="false" outlineLevel="0" collapsed="false">
      <c r="A13" s="12" t="s">
        <v>346</v>
      </c>
    </row>
    <row r="14" customFormat="false" ht="15" hidden="false" customHeight="false" outlineLevel="0" collapsed="false">
      <c r="A14" s="12" t="s">
        <v>347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0"/>
  </cols>
  <sheetData>
    <row r="1" customFormat="false" ht="15" hidden="false" customHeight="false" outlineLevel="0" collapsed="false">
      <c r="A1" s="1" t="s">
        <v>348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349</v>
      </c>
      <c r="B4" s="4" t="s">
        <v>350</v>
      </c>
    </row>
    <row r="5" customFormat="false" ht="23.85" hidden="false" customHeight="false" outlineLevel="0" collapsed="false">
      <c r="A5" s="0" t="n">
        <v>1</v>
      </c>
      <c r="B5" s="7" t="s">
        <v>351</v>
      </c>
    </row>
    <row r="6" customFormat="false" ht="15" hidden="false" customHeight="false" outlineLevel="0" collapsed="false">
      <c r="A6" s="0" t="n">
        <v>2</v>
      </c>
      <c r="B6" s="7" t="s">
        <v>352</v>
      </c>
    </row>
    <row r="7" customFormat="false" ht="15" hidden="false" customHeight="false" outlineLevel="0" collapsed="false">
      <c r="A7" s="0" t="n">
        <v>3</v>
      </c>
      <c r="B7" s="7" t="s">
        <v>353</v>
      </c>
    </row>
    <row r="8" customFormat="false" ht="23.85" hidden="false" customHeight="false" outlineLevel="0" collapsed="false">
      <c r="A8" s="0" t="n">
        <v>4</v>
      </c>
      <c r="B8" s="7" t="s">
        <v>354</v>
      </c>
    </row>
    <row r="9" customFormat="false" ht="15" hidden="false" customHeight="false" outlineLevel="0" collapsed="false">
      <c r="A9" s="0" t="n">
        <v>5</v>
      </c>
      <c r="B9" s="7" t="s">
        <v>355</v>
      </c>
    </row>
    <row r="10" customFormat="false" ht="23.85" hidden="false" customHeight="false" outlineLevel="0" collapsed="false">
      <c r="A10" s="0" t="n">
        <v>6</v>
      </c>
      <c r="B10" s="7" t="s">
        <v>356</v>
      </c>
    </row>
    <row r="11" customFormat="false" ht="15" hidden="false" customHeight="false" outlineLevel="0" collapsed="false">
      <c r="A11" s="0" t="n">
        <v>7</v>
      </c>
      <c r="B11" s="7" t="s">
        <v>357</v>
      </c>
    </row>
    <row r="12" customFormat="false" ht="23.85" hidden="false" customHeight="false" outlineLevel="0" collapsed="false">
      <c r="A12" s="0" t="n">
        <v>8</v>
      </c>
      <c r="B12" s="7" t="s">
        <v>358</v>
      </c>
    </row>
    <row r="13" customFormat="false" ht="23.85" hidden="false" customHeight="false" outlineLevel="0" collapsed="false">
      <c r="A13" s="0" t="n">
        <v>9</v>
      </c>
      <c r="B13" s="7" t="s">
        <v>359</v>
      </c>
    </row>
    <row r="14" customFormat="false" ht="23.85" hidden="false" customHeight="false" outlineLevel="0" collapsed="false">
      <c r="A14" s="0" t="n">
        <v>10</v>
      </c>
      <c r="B14" s="7" t="s">
        <v>360</v>
      </c>
    </row>
    <row r="15" customFormat="false" ht="23.85" hidden="false" customHeight="false" outlineLevel="0" collapsed="false">
      <c r="A15" s="0" t="n">
        <v>11</v>
      </c>
      <c r="B15" s="7" t="s">
        <v>361</v>
      </c>
    </row>
    <row r="16" customFormat="false" ht="23.85" hidden="false" customHeight="false" outlineLevel="0" collapsed="false">
      <c r="A16" s="0" t="n">
        <v>12</v>
      </c>
      <c r="B16" s="7" t="s">
        <v>362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2026-10-07T07:52:51Z</dcterms:created>
  <dc:creator>openpyxl</dc:creator>
  <dc:description/>
  <dc:language>en-GB</dc:language>
  <cp:lastModifiedBy/>
  <dcterms:modified xsi:type="dcterms:W3CDTF">2026-10-07T07:52:51Z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