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Financials" sheetId="4" state="visible" r:id="rId6"/>
    <sheet name="Normal" sheetId="5" state="visible" r:id="rId7"/>
    <sheet name="Scenarios" sheetId="6" state="visible" r:id="rId8"/>
    <sheet name="Valuation" sheetId="7" state="visible" r:id="rId9"/>
    <sheet name="Sensitivity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<sst xmlns="http://schemas.openxmlformats.org/spreadsheetml/2006/main" count="504" uniqueCount="386">
  <si>
    <t xml:space="preserve">MICRON TECHNOLOGY, INC. (NASDAQ: MU)  INITIATION MODEL</t>
  </si>
  <si>
    <t xml:space="preserve">Tommy Lau | Micron Technology, Inc. (Nasdaq: MU) | 7 October 2026 | Non-GAAP basis; FY26 ended 3 Sep 2026, FY27 ends about 2 Sep 2027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</si>
  <si>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</si>
  <si>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</si>
  <si>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</si>
  <si>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</si>
  <si>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call.</t>
  </si>
  <si>
    <t xml:space="preserve">Target, US$</t>
  </si>
  <si>
    <t xml:space="preserve">No target for a no call.</t>
  </si>
  <si>
    <t xml:space="preserve">Conviction</t>
  </si>
  <si>
    <t xml:space="preserve">Low</t>
  </si>
  <si>
    <t xml:space="preserve">Judgement, not formula.</t>
  </si>
  <si>
    <t xml:space="preserve">Reference price, US$</t>
  </si>
  <si>
    <t xml:space="preserve">Nasdaq close, 6 October 2026.</t>
  </si>
  <si>
    <t xml:space="preserve">Base value, US$</t>
  </si>
  <si>
    <t xml:space="preserve">Net cash + above-normal earnings to FY30 + 12x normal EPS, at October 2027.</t>
  </si>
  <si>
    <t xml:space="preserve">Base value against the price</t>
  </si>
  <si>
    <t xml:space="preserve">Probability-weighted value, US$</t>
  </si>
  <si>
    <t xml:space="preserve">25 / 50 / 25 bear / base / bull.</t>
  </si>
  <si>
    <t xml:space="preserve">Normal EPS the price needs, US$</t>
  </si>
  <si>
    <t xml:space="preserve">Against my base of US$39.63.</t>
  </si>
  <si>
    <t xml:space="preserve">FY27E / FY28E EPS, US$</t>
  </si>
  <si>
    <t xml:space="preserve">Own estimates, non-GAAP, diluted.</t>
  </si>
  <si>
    <t xml:space="preserve">Horizon</t>
  </si>
  <si>
    <t xml:space="preserve">12 months, to October 2027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</si>
  <si>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</si>
  <si>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</si>
  <si>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</si>
  <si>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Quarterly</t>
  </si>
  <si>
    <t xml:space="preserve">Q4 FY25 to Q4 FY26 reported, the Q1 FY27 guide and my Q2 to Q4 FY27; business unit margins.</t>
  </si>
  <si>
    <t xml:space="preserve">Financials</t>
  </si>
  <si>
    <t xml:space="preserve">FY25A to FY28E: revenue by line, margins, EPS, consensus, P/E, cash at October 2027.</t>
  </si>
  <si>
    <t xml:space="preserve">Normal</t>
  </si>
  <si>
    <t xml:space="preserve">Ten years of the cycle and my normal (mid-cycle) year.</t>
  </si>
  <si>
    <t xml:space="preserve">Scenarios</t>
  </si>
  <si>
    <t xml:space="preserve">Bear / base / bull value at October 2027 and the probability-weighted value.</t>
  </si>
  <si>
    <t xml:space="preserve">Valuation</t>
  </si>
  <si>
    <t xml:space="preserve">Base value, multiples, what the price needs, revisit levels.</t>
  </si>
  <si>
    <t xml:space="preserve">Sensitivity</t>
  </si>
  <si>
    <t xml:space="preserve">Normal net margin against the multiple on normal earnings.</t>
  </si>
  <si>
    <t xml:space="preserve">Peers</t>
  </si>
  <si>
    <t xml:space="preserve">Memory peers on consensus for the year ending in 2027.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</si>
  <si>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</si>
  <si>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</si>
  <si>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</si>
  <si>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2026-10-07_Micron_Initiation.pdf.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</si>
  <si>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</si>
  <si>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billion unless stated; per-share figures in US$; shares in billions.</t>
  </si>
  <si>
    <t xml:space="preserve">Input</t>
  </si>
  <si>
    <t xml:space="preserve">Unit</t>
  </si>
  <si>
    <t xml:space="preserve">Source / note</t>
  </si>
  <si>
    <t xml:space="preserve">MARKET (retrieved 7 October 2026)</t>
  </si>
  <si>
    <t xml:space="preserve">Share price (Nasdaq: MU)</t>
  </si>
  <si>
    <t xml:space="preserve">US$</t>
  </si>
  <si>
    <t xml:space="preserve">Nasdaq close, 6 October 2026. Nasdaq.com historical data (Yahoo Finance refused requests on 7 Oct).</t>
  </si>
  <si>
    <t xml:space="preserve">Highest close of the past year (25 June 2026)</t>
  </si>
  <si>
    <t xml:space="preserve">Nasdaq.com. Intraday high US$1,255.00, same day.</t>
  </si>
  <si>
    <t xml:space="preserve">Lowest close of the past year (10 October 2025)</t>
  </si>
  <si>
    <t xml:space="preserve">Nasdaq.com. Intraday low US$179.61, same day.</t>
  </si>
  <si>
    <t xml:space="preserve">Close, 31 Dec 2025</t>
  </si>
  <si>
    <t xml:space="preserve">Nasdaq.com.</t>
  </si>
  <si>
    <t xml:space="preserve">Highest close of fiscal 2022 (14 January 2022)</t>
  </si>
  <si>
    <t xml:space="preserve">Lowest close after it (26 September 2022)</t>
  </si>
  <si>
    <t xml:space="preserve">Shares outstanding</t>
  </si>
  <si>
    <t xml:space="preserve">bn</t>
  </si>
  <si>
    <t xml:space="preserve">stockanalysis.com, 7 October 2026.</t>
  </si>
  <si>
    <t xml:space="preserve">Cash and investments, 3 Sep 2026</t>
  </si>
  <si>
    <t xml:space="preserve">US$bn</t>
  </si>
  <si>
    <t xml:space="preserve">Q4 FY26 release: cash 38.364, short-term 5.070, long-term 30.019.</t>
  </si>
  <si>
    <t xml:space="preserve">Total debt, 3 Sep 2026</t>
  </si>
  <si>
    <t xml:space="preserve">Q4 FY26 release: current 0.491, long-term 4.688.</t>
  </si>
  <si>
    <t xml:space="preserve">Customer cash deposits under SCAs on the balance sheet</t>
  </si>
  <si>
    <t xml:space="preserve">Q4 FY26 prepared remarks: US$12.7bn, returned to customers over time.</t>
  </si>
  <si>
    <t xml:space="preserve">FY27 consensus EPS</t>
  </si>
  <si>
    <t xml:space="preserve">stockanalysis.com (S&amp;P Global, updated 6 Oct 2026), 39 analysts; range 161.00 to 214.70.</t>
  </si>
  <si>
    <t xml:space="preserve">FY28 consensus EPS</t>
  </si>
  <si>
    <t xml:space="preserve">stockanalysis.com (S&amp;P Global).</t>
  </si>
  <si>
    <t xml:space="preserve">FY27 consensus revenue</t>
  </si>
  <si>
    <t xml:space="preserve">FY28 consensus revenue</t>
  </si>
  <si>
    <t xml:space="preserve">Average analyst target</t>
  </si>
  <si>
    <t xml:space="preserve">stockanalysis.com, 49 analysts; range 361 to 2,200.</t>
  </si>
  <si>
    <t xml:space="preserve">REPORTED AND GUIDED (Micron release, prepared remarks, calls)</t>
  </si>
  <si>
    <t xml:space="preserve">FY25 revenue</t>
  </si>
  <si>
    <t xml:space="preserve">Q4 FY26 release comparatives.</t>
  </si>
  <si>
    <t xml:space="preserve">FY25 non-GAAP net income</t>
  </si>
  <si>
    <t xml:space="preserve">Same.</t>
  </si>
  <si>
    <t xml:space="preserve">FY25 non-GAAP EPS</t>
  </si>
  <si>
    <t xml:space="preserve">FY25 non-GAAP gross margin</t>
  </si>
  <si>
    <t xml:space="preserve">%</t>
  </si>
  <si>
    <t xml:space="preserve">Q4 FY26 release comparatives: 40.9%.</t>
  </si>
  <si>
    <t xml:space="preserve">FY26 revenue</t>
  </si>
  <si>
    <t xml:space="preserve">Q4 FY26 release.</t>
  </si>
  <si>
    <t xml:space="preserve">FY26 non-GAAP net income</t>
  </si>
  <si>
    <t xml:space="preserve">FY26 non-GAAP EPS</t>
  </si>
  <si>
    <t xml:space="preserve">FY26 non-GAAP gross margin</t>
  </si>
  <si>
    <t xml:space="preserve">Prepared remarks, 30 Sep 2026.</t>
  </si>
  <si>
    <t xml:space="preserve">FY26 DRAM revenue (sum of quarters)</t>
  </si>
  <si>
    <t xml:space="preserve">Quarterly tab; 'surpassed $100 billion' (CEO).</t>
  </si>
  <si>
    <t xml:space="preserve">FY26 NAND revenue (sum of quarters)</t>
  </si>
  <si>
    <t xml:space="preserve">Quarterly tab.</t>
  </si>
  <si>
    <t xml:space="preserve">Q1 FY27 revenue guide</t>
  </si>
  <si>
    <t xml:space="preserve">Release, 30 Sep 2026: US$61.5bn plus or minus US$1.5bn.</t>
  </si>
  <si>
    <t xml:space="preserve">Q1 FY27 non-GAAP gross margin guide</t>
  </si>
  <si>
    <t xml:space="preserve">About 86.25%; Q1 is 'the floor for gross margins in fiscal 2027'.</t>
  </si>
  <si>
    <t xml:space="preserve">Q1 FY27 non-GAAP operating expenses guide</t>
  </si>
  <si>
    <t xml:space="preserve">About US$2.06bn.</t>
  </si>
  <si>
    <t xml:space="preserve">Q1 FY27 non-GAAP EPS guide</t>
  </si>
  <si>
    <t xml:space="preserve">US$38.15 plus or minus US$1.00, on about 1.15bn shares.</t>
  </si>
  <si>
    <t xml:space="preserve">Tax rate, Q1 and FY27</t>
  </si>
  <si>
    <t xml:space="preserve">Guided around 15.5%; held for FY28 (mine).</t>
  </si>
  <si>
    <t xml:space="preserve">FY27 operating expense increase</t>
  </si>
  <si>
    <t xml:space="preserve">Guided about US$2.5bn on FY26's about US$6.8bn.</t>
  </si>
  <si>
    <t xml:space="preserve">First-half FY27 capex</t>
  </si>
  <si>
    <t xml:space="preserve">Guided about US$25bn; second half higher.</t>
  </si>
  <si>
    <t xml:space="preserve">Dividend per share, a year</t>
  </si>
  <si>
    <t xml:space="preserve">US$0.15 a quarter.</t>
  </si>
  <si>
    <t xml:space="preserve">MY ASSUMPTIONS: FISCAL 2027 QUARTERS 2 TO 4 AND FISCAL 2028</t>
  </si>
  <si>
    <t xml:space="preserve">Diluted shares, FY27 and FY28</t>
  </si>
  <si>
    <t xml:space="preserve">MINE: the Q1 guide held; buybacks treated as cash kept, value-neutral at fair value.</t>
  </si>
  <si>
    <t xml:space="preserve">Q2 FY27 revenue</t>
  </si>
  <si>
    <t xml:space="preserve">MINE: 'sequential revenue growth each quarter' with slower price rises.</t>
  </si>
  <si>
    <t xml:space="preserve">Q3 FY27 revenue</t>
  </si>
  <si>
    <t xml:space="preserve">MINE.</t>
  </si>
  <si>
    <t xml:space="preserve">Q4 FY27 revenue</t>
  </si>
  <si>
    <t xml:space="preserve">Q2 FY27 gross margin</t>
  </si>
  <si>
    <t xml:space="preserve">MINE: higher gross margins beyond Q1 (guided).</t>
  </si>
  <si>
    <t xml:space="preserve">Q3 FY27 gross margin</t>
  </si>
  <si>
    <t xml:space="preserve">Q4 FY27 gross margin</t>
  </si>
  <si>
    <t xml:space="preserve">Q2 FY27 operating expenses</t>
  </si>
  <si>
    <t xml:space="preserve">MINE: FY27 total equals FY26's 6.8 plus the guided 2.5.</t>
  </si>
  <si>
    <t xml:space="preserve">Q3 FY27 operating expenses</t>
  </si>
  <si>
    <t xml:space="preserve">Q4 FY27 operating expenses</t>
  </si>
  <si>
    <t xml:space="preserve">Q2 FY27 interest and other income</t>
  </si>
  <si>
    <t xml:space="preserve">MINE. Q1 implied by the guide (Quarterly tab).</t>
  </si>
  <si>
    <t xml:space="preserve">Q3 FY27 interest and other income</t>
  </si>
  <si>
    <t xml:space="preserve">Q4 FY27 interest and other income</t>
  </si>
  <si>
    <t xml:space="preserve">FY28 revenue growth (base)</t>
  </si>
  <si>
    <t xml:space="preserve">MINE. Consensus about 14%.</t>
  </si>
  <si>
    <t xml:space="preserve">FY28 gross margin (base)</t>
  </si>
  <si>
    <t xml:space="preserve">FY28 operating expenses</t>
  </si>
  <si>
    <t xml:space="preserve">FY28 interest and other income</t>
  </si>
  <si>
    <t xml:space="preserve">FY27 depreciation and amortisation</t>
  </si>
  <si>
    <t xml:space="preserve">MINE. FY26 US$9.5bn (stockanalysis.com).</t>
  </si>
  <si>
    <t xml:space="preserve">FY27 capital spending, net</t>
  </si>
  <si>
    <t xml:space="preserve">MINE. First half about US$25bn guided, second half higher, which implies more than US$50bn.</t>
  </si>
  <si>
    <t xml:space="preserve">FY27 working capital build</t>
  </si>
  <si>
    <t xml:space="preserve">FY26 HBM revenue</t>
  </si>
  <si>
    <t xml:space="preserve">MINE. Not disclosed. About Micron's DRAM share of an industry HBM market near US$49bn in CY2026.</t>
  </si>
  <si>
    <t xml:space="preserve">FY27 HBM revenue</t>
  </si>
  <si>
    <t xml:space="preserve">MINE. About 23% of a CY2027 market near US$69bn (Micron: about US$35bn in 2025, about US$100bn in 2028).</t>
  </si>
  <si>
    <t xml:space="preserve">FY28 HBM revenue</t>
  </si>
  <si>
    <t xml:space="preserve">MINE. About 22% of Micron's US$100bn CY2028 market forecast.</t>
  </si>
  <si>
    <t xml:space="preserve">FY27 NAND revenue</t>
  </si>
  <si>
    <t xml:space="preserve">MINE. 26% of Q4 FY26 revenue.</t>
  </si>
  <si>
    <t xml:space="preserve">FY28 NAND revenue</t>
  </si>
  <si>
    <t xml:space="preserve">MY ASSUMPTIONS: NORMAL EARNINGS AND VALUE (base)</t>
  </si>
  <si>
    <t xml:space="preserve">Bit growth a year to a mid-cycle year</t>
  </si>
  <si>
    <t xml:space="preserve">x</t>
  </si>
  <si>
    <t xml:space="preserve">MINE. Micron expects industry DRAM bits up in the low 20s % in CY2027 and CY2028.</t>
  </si>
  <si>
    <t xml:space="preserve">Years from FY26 to the mid-cycle year</t>
  </si>
  <si>
    <t xml:space="preserve">yrs</t>
  </si>
  <si>
    <t xml:space="preserve">MINE. Around FY2030.</t>
  </si>
  <si>
    <t xml:space="preserve">Mid-cycle revenue per bit against FY26's average</t>
  </si>
  <si>
    <t xml:space="preserve">Mid-cycle net margin</t>
  </si>
  <si>
    <t xml:space="preserve">MINE. FY16 to FY25 GAAP: 18.8% in all; FY18 peak 46.5% (Normal tab).</t>
  </si>
  <si>
    <t xml:space="preserve">P/E on normal earnings</t>
  </si>
  <si>
    <t xml:space="preserve">Discount rate on above-normal earnings</t>
  </si>
  <si>
    <t xml:space="preserve">Share of FY28 excess earned in FY28</t>
  </si>
  <si>
    <t xml:space="preserve">MINE: base keeps the shortage through FY28.</t>
  </si>
  <si>
    <t xml:space="preserve">Share of FY28 excess earned again in FY29</t>
  </si>
  <si>
    <t xml:space="preserve">MINE: half.</t>
  </si>
  <si>
    <t xml:space="preserve">Share of FY28 excess earned again in FY30</t>
  </si>
  <si>
    <t xml:space="preserve">MINE: none.</t>
  </si>
  <si>
    <t xml:space="preserve">QUARTERLY HISTORY, Q4 FY25 TO Q4 FY26, AND FISCAL 2027 (Q1 GUIDE, Q2 TO Q4 MINE)</t>
  </si>
  <si>
    <t xml:space="preserve">US$ billion unless stated</t>
  </si>
  <si>
    <t xml:space="preserve">Q4 FY25</t>
  </si>
  <si>
    <t xml:space="preserve">Q1 FY26</t>
  </si>
  <si>
    <t xml:space="preserve">Q2 FY26</t>
  </si>
  <si>
    <t xml:space="preserve">Q3 FY26</t>
  </si>
  <si>
    <t xml:space="preserve">Q4 FY26</t>
  </si>
  <si>
    <t xml:space="preserve">Q1 FY27 guide</t>
  </si>
  <si>
    <t xml:space="preserve">Q2 FY27E</t>
  </si>
  <si>
    <t xml:space="preserve">Q3 FY27E</t>
  </si>
  <si>
    <t xml:space="preserve">Q4 FY27E</t>
  </si>
  <si>
    <t xml:space="preserve">Revenue</t>
  </si>
  <si>
    <t xml:space="preserve">  DRAM, including HBM</t>
  </si>
  <si>
    <t xml:space="preserve">  NAND</t>
  </si>
  <si>
    <t xml:space="preserve">Revenue growth on the quarter</t>
  </si>
  <si>
    <t xml:space="preserve">Gross margin, non-GAAP</t>
  </si>
  <si>
    <t xml:space="preserve">Gross profit</t>
  </si>
  <si>
    <t xml:space="preserve">Operating expenses, non-GAAP</t>
  </si>
  <si>
    <t xml:space="preserve">Operating income, non-GAAP</t>
  </si>
  <si>
    <t xml:space="preserve">Operating margin</t>
  </si>
  <si>
    <t xml:space="preserve">Interest and other (Q1: implied by the EPS guide)</t>
  </si>
  <si>
    <t xml:space="preserve">Net income, non-GAAP</t>
  </si>
  <si>
    <t xml:space="preserve">Diluted shares, bn</t>
  </si>
  <si>
    <t xml:space="preserve">Diluted EPS, US$ (reported; Q1 guide; Q2 to Q4 mine)</t>
  </si>
  <si>
    <t xml:space="preserve">Business unit gross margin, fiscal 2026</t>
  </si>
  <si>
    <t xml:space="preserve">CMBU (cloud, includes HBM)</t>
  </si>
  <si>
    <t xml:space="preserve">CDBU (core data centre)</t>
  </si>
  <si>
    <t xml:space="preserve">MCBU (mobile and PC)</t>
  </si>
  <si>
    <t xml:space="preserve">AEBU (auto and embedded)</t>
  </si>
  <si>
    <t xml:space="preserve">Business unit revenue, fiscal 2026</t>
  </si>
  <si>
    <t xml:space="preserve">CMBU</t>
  </si>
  <si>
    <t xml:space="preserve">CDBU</t>
  </si>
  <si>
    <t xml:space="preserve">MCBU</t>
  </si>
  <si>
    <t xml:space="preserve">AEBU</t>
  </si>
  <si>
    <t xml:space="preserve">Checks</t>
  </si>
  <si>
    <t xml:space="preserve">FY26 revenue, sum of quarters</t>
  </si>
  <si>
    <t xml:space="preserve">Revenue growth, Q4 FY26 on Q4 FY25</t>
  </si>
  <si>
    <t xml:space="preserve">Gap between core data centre and cloud unit margins, Q4 FY26, points</t>
  </si>
  <si>
    <t xml:space="preserve">FY27 revenue, sum of quarters</t>
  </si>
  <si>
    <t xml:space="preserve">FY27 EPS, sum of quarters</t>
  </si>
  <si>
    <t xml:space="preserve">Source: Micron prepared remarks (24 June and 30 September 2026), Q4 FY26 release, earnings calls of 23 September 2025, 17 December 2025 and 18 March 2026.</t>
  </si>
  <si>
    <t xml:space="preserve">Q2 FY26 revenue is FY26 less the other three quarters. Q4 FY25 DRAM and NAND are derived from the year-on-year growth given on 30 September 2026.</t>
  </si>
  <si>
    <t xml:space="preserve">Q1 FY27 is the guide; interest and other is what makes the guided EPS. Q2 to Q4 FY27 are my estimates.</t>
  </si>
  <si>
    <t xml:space="preserve">FINANCIAL SUMMARY AND FORECASTS (US$ billion unless stated, non-GAAP basis)</t>
  </si>
  <si>
    <t xml:space="preserve">FY25A</t>
  </si>
  <si>
    <t xml:space="preserve">FY26A</t>
  </si>
  <si>
    <t xml:space="preserve">FY27E*</t>
  </si>
  <si>
    <t xml:space="preserve">FY28E*</t>
  </si>
  <si>
    <t xml:space="preserve">Revenue growth</t>
  </si>
  <si>
    <t xml:space="preserve">  HBM (my estimate; not disclosed)</t>
  </si>
  <si>
    <t xml:space="preserve">  Conventional DRAM</t>
  </si>
  <si>
    <t xml:space="preserve">Gross margin</t>
  </si>
  <si>
    <t xml:space="preserve">Operating expenses</t>
  </si>
  <si>
    <t xml:space="preserve">Operating income</t>
  </si>
  <si>
    <t xml:space="preserve">Interest and other</t>
  </si>
  <si>
    <t xml:space="preserve">Net income</t>
  </si>
  <si>
    <t xml:space="preserve">Net margin</t>
  </si>
  <si>
    <t xml:space="preserve">Diluted EPS, US$</t>
  </si>
  <si>
    <t xml:space="preserve">Consensus EPS, US$</t>
  </si>
  <si>
    <t xml:space="preserve">Mine against consensus</t>
  </si>
  <si>
    <t xml:space="preserve">Revenue against consensus</t>
  </si>
  <si>
    <t xml:space="preserve">P/E at reference price</t>
  </si>
  <si>
    <t xml:space="preserve">P/E on consensus</t>
  </si>
  <si>
    <t xml:space="preserve">Free cash flow, FY27 (net income + D&amp;A - capex - working capital)</t>
  </si>
  <si>
    <t xml:space="preserve">Net cash after deposits, start of period</t>
  </si>
  <si>
    <t xml:space="preserve">Net cash after deposits, end of FY27 (about October 2027); per share on 1.15bn diluted shares, while market value uses 1.13bn outstanding</t>
  </si>
  <si>
    <t xml:space="preserve">  per share, US$</t>
  </si>
  <si>
    <t xml:space="preserve">*FY27E sums the Q1 guide and my Q2 to Q4 (Quarterly tab). FY28E is my base case. HBM and the conventional DRAM split are my estimates; Micron reports DRAM including HBM.</t>
  </si>
  <si>
    <t xml:space="preserve">FY26 operating expenses are the four quarters rounded (1.3, 1.4, 1.5, 2.6); FY26 operating income is the sum of the quarters (6.4, 16.5, 33.7, 44.6). FY26 free cash flow is Micron's adjusted figure.</t>
  </si>
  <si>
    <t xml:space="preserve">Consensus from stockanalysis.com (S&amp;P Global data, updated 6 October 2026).</t>
  </si>
  <si>
    <t xml:space="preserve">Note check: FY27E revenue 266.3, EPS 167.44; FY28E revenue 292.9, EPS 179.96; net cash per share at October 2027 174.3.</t>
  </si>
  <si>
    <t xml:space="preserve">THE CYCLE AND NORMAL (MID-CYCLE) EARNINGS</t>
  </si>
  <si>
    <t xml:space="preserve">Fiscal year</t>
  </si>
  <si>
    <t xml:space="preserve">Revenue, US$bn</t>
  </si>
  <si>
    <t xml:space="preserve">GAAP net income</t>
  </si>
  <si>
    <t xml:space="preserve">FY16</t>
  </si>
  <si>
    <t xml:space="preserve">FY17</t>
  </si>
  <si>
    <t xml:space="preserve">FY18</t>
  </si>
  <si>
    <t xml:space="preserve">FY19</t>
  </si>
  <si>
    <t xml:space="preserve">FY20</t>
  </si>
  <si>
    <t xml:space="preserve">FY21</t>
  </si>
  <si>
    <t xml:space="preserve">FY22</t>
  </si>
  <si>
    <t xml:space="preserve">FY23</t>
  </si>
  <si>
    <t xml:space="preserve">FY24</t>
  </si>
  <si>
    <t xml:space="preserve">FY25</t>
  </si>
  <si>
    <t xml:space="preserve">FY26</t>
  </si>
  <si>
    <t xml:space="preserve">FY16 to FY25, all ten years</t>
  </si>
  <si>
    <t xml:space="preserve">FY18, the last cycle's peak</t>
  </si>
  <si>
    <t xml:space="preserve">Normal year (base)</t>
  </si>
  <si>
    <t xml:space="preserve">Bit growth factor</t>
  </si>
  <si>
    <t xml:space="preserve">Revenue per bit against FY26's average</t>
  </si>
  <si>
    <t xml:space="preserve">Normal revenue, US$bn</t>
  </si>
  <si>
    <t xml:space="preserve">Normal net margin</t>
  </si>
  <si>
    <t xml:space="preserve">Normal net income, US$bn</t>
  </si>
  <si>
    <t xml:space="preserve">Normal EPS, US$</t>
  </si>
  <si>
    <t xml:space="preserve">Revenue and GAAP net income: Micron 10-K XBRL data on SEC EDGAR for FY16 to FY21; stockanalysis.com (S&amp;P Global) for FY22 to FY26.</t>
  </si>
  <si>
    <t xml:space="preserve">The normal year is mine: bits grow 20% a year for four years from FY26, and revenue per bit settles at 55% of FY26's average.</t>
  </si>
  <si>
    <t xml:space="preserve">THREE CASES, TWELVE MONTHS OUT (VALUE AT OCTOBER 2027)</t>
  </si>
  <si>
    <t xml:space="preserve">Case</t>
  </si>
  <si>
    <t xml:space="preserve">Rev. per bit</t>
  </si>
  <si>
    <t xml:space="preserve">Normal margin</t>
  </si>
  <si>
    <t xml:space="preserve">Normal P/E</t>
  </si>
  <si>
    <t xml:space="preserve">FY28 growth</t>
  </si>
  <si>
    <t xml:space="preserve">FY28 GM</t>
  </si>
  <si>
    <t xml:space="preserve">w FY28</t>
  </si>
  <si>
    <t xml:space="preserve">w FY29</t>
  </si>
  <si>
    <t xml:space="preserve">w FY30</t>
  </si>
  <si>
    <t xml:space="preserve">Normal EPS</t>
  </si>
  <si>
    <t xml:space="preserve">FY28 EPS</t>
  </si>
  <si>
    <t xml:space="preserve">Net cash / sh</t>
  </si>
  <si>
    <t xml:space="preserve">Excess / sh</t>
  </si>
  <si>
    <t xml:space="preserve">Normal value / sh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</si>
  <si>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</si>
  <si>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</si>
  <si>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</si>
  <si>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</si>
  <si>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</si>
  <si>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</si>
  <si>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</si>
  <si>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Value at October 2027 = net cash after deposits per share + above-normal earnings to FY30, discounted + normal EPS x normal P/E.</t>
  </si>
  <si>
    <t xml:space="preserve">Excess = (FY28 EPS - normal EPS) x (w FY28 / 1.1 + w FY29 / 1.1^2 + w FY30 / 1.1^3). FY27 and the cash at October 2027 are the same in all three cases.</t>
  </si>
  <si>
    <t xml:space="preserve">Bear: prices turn in 2027 as new cleanrooms ramp; FY28 revenue falls 25%; normal year at the ten-year margin. Bull: the shortage outlasts 2028, which Micron's 'no line of sight' to balance allows, and floors hold margins near 40%.</t>
  </si>
  <si>
    <t xml:space="preserve">FY27 is held fixed in all cases on purpose: Q1 is guided and more than 75% of 2027 output is committed, much of it under contract.</t>
  </si>
  <si>
    <t xml:space="preserve">VALUATION: NET CASH + ABOVE-NORMAL EARNINGS + NORMAL EARNINGS, AT OCTOBER 2027</t>
  </si>
  <si>
    <t xml:space="preserve">Line</t>
  </si>
  <si>
    <t xml:space="preserve">Working / note</t>
  </si>
  <si>
    <t xml:space="preserve">Net cash after deposits per share, October 2027, US$</t>
  </si>
  <si>
    <t xml:space="preserve">Financials tab.</t>
  </si>
  <si>
    <t xml:space="preserve">Above-normal earnings, discounted, per share, US$</t>
  </si>
  <si>
    <t xml:space="preserve">Base case.</t>
  </si>
  <si>
    <t xml:space="preserve">Normal EPS x normal P/E, US$</t>
  </si>
  <si>
    <t xml:space="preserve">Base-case value per share, US$</t>
  </si>
  <si>
    <t xml:space="preserve">Scenarios tab.</t>
  </si>
  <si>
    <t xml:space="preserve">Rule on value alone (long at 15% above, short at 25% below)</t>
  </si>
  <si>
    <t xml:space="preserve">Mechanical only; wider on the short side because a short's losses are open-ended.</t>
  </si>
  <si>
    <t xml:space="preserve">CALL</t>
  </si>
  <si>
    <t xml:space="preserve">NO CALL</t>
  </si>
  <si>
    <t xml:space="preserve">None (no call)</t>
  </si>
  <si>
    <t xml:space="preserve">Market value, US$bn</t>
  </si>
  <si>
    <t xml:space="preserve">On 1.13bn shares outstanding.</t>
  </si>
  <si>
    <t xml:space="preserve">Enterprise value, US$bn (net of cash after deposits)</t>
  </si>
  <si>
    <t xml:space="preserve">P/E on FY26 EPS</t>
  </si>
  <si>
    <t xml:space="preserve">P/E on my FY27E</t>
  </si>
  <si>
    <t xml:space="preserve">P/E on my FY28E</t>
  </si>
  <si>
    <t xml:space="preserve">P/E on FY27 consensus</t>
  </si>
  <si>
    <t xml:space="preserve">stockanalysis.com.</t>
  </si>
  <si>
    <t xml:space="preserve">P/E on FY28 consensus</t>
  </si>
  <si>
    <t xml:space="preserve">P/E on my normal EPS</t>
  </si>
  <si>
    <t xml:space="preserve">Discount factor on the FY28 excess (base weights)</t>
  </si>
  <si>
    <t xml:space="preserve">At my base FY28, cash and multiple. What the market prices in.</t>
  </si>
  <si>
    <t xml:space="preserve">That as a net margin on my normal revenue</t>
  </si>
  <si>
    <t xml:space="preserve">FY18 peak 46.5%; FY16 to FY25 18.8%.</t>
  </si>
  <si>
    <t xml:space="preserve">Or as normal revenue at my 30% margin, US$bn</t>
  </si>
  <si>
    <t xml:space="preserve">Needed normal EPS against FY26 EPS</t>
  </si>
  <si>
    <t xml:space="preserve">Needed normal EPS against my FY28 EPS</t>
  </si>
  <si>
    <t xml:space="preserve">Price at or below which the base is 15% above (points long)</t>
  </si>
  <si>
    <t xml:space="preserve">Price at or above which the base is 25% below (points short)</t>
  </si>
  <si>
    <t xml:space="preserve">Normal EPS at or above which the base is 15% above the price</t>
  </si>
  <si>
    <t xml:space="preserve">Normal EPS at or below which the base is 25% below the price</t>
  </si>
  <si>
    <t xml:space="preserve">Last cycle: P/E at fiscal 2022's highest close on FY22 GAAP EPS of US$7.75</t>
  </si>
  <si>
    <t xml:space="preserve">Fall from that close to 26 September 2022</t>
  </si>
  <si>
    <t xml:space="preserve">Against the highest close (25 Jun 2026)</t>
  </si>
  <si>
    <t xml:space="preserve">Change since 31 Dec 2025</t>
  </si>
  <si>
    <t xml:space="preserve">VALUE PER SHARE: NORMAL NET MARGIN AGAINST THE MULTIPLE ON NORMAL EARNINGS (US$)</t>
  </si>
  <si>
    <t xml:space="preserve">Normal net margin \ normal P/E</t>
  </si>
  <si>
    <t xml:space="preserve">Cells above the reference price</t>
  </si>
  <si>
    <t xml:space="preserve">of 9</t>
  </si>
  <si>
    <t xml:space="preserve">Cells 25% or more below the price</t>
  </si>
  <si>
    <t xml:space="preserve">Middle row links to my base normal margin and the middle column to the base multiple. Normal revenue, FY28 EPS and net cash as in the base.</t>
  </si>
  <si>
    <t xml:space="preserve">PEER MULTIPLES ON CONSENSUS FOR THE YEAR ENDING IN 2027 (stockanalysis.com, 7 OCTOBER 2026)</t>
  </si>
  <si>
    <t xml:space="preserve">Company</t>
  </si>
  <si>
    <t xml:space="preserve">Listing</t>
  </si>
  <si>
    <t xml:space="preserve">Price</t>
  </si>
  <si>
    <t xml:space="preserve">Currency</t>
  </si>
  <si>
    <t xml:space="preserve">Consensus EPS</t>
  </si>
  <si>
    <t xml:space="preserve">Year</t>
  </si>
  <si>
    <t xml:space="preserve">P/E</t>
  </si>
  <si>
    <t xml:space="preserve">What they make</t>
  </si>
  <si>
    <t xml:space="preserve">Micron</t>
  </si>
  <si>
    <t xml:space="preserve">Nasdaq: MU</t>
  </si>
  <si>
    <t xml:space="preserve">FY to Aug 2027</t>
  </si>
  <si>
    <t xml:space="preserve">DRAM, HBM, NAND</t>
  </si>
  <si>
    <t xml:space="preserve">SK Hynix</t>
  </si>
  <si>
    <t xml:space="preserve">KRX: 000660</t>
  </si>
  <si>
    <t xml:space="preserve">KRW</t>
  </si>
  <si>
    <t xml:space="preserve">CY2027</t>
  </si>
  <si>
    <t xml:space="preserve">Samsung Electronics</t>
  </si>
  <si>
    <t xml:space="preserve">KRX: 005930</t>
  </si>
  <si>
    <t xml:space="preserve">DRAM, HBM, NAND, logic, phones</t>
  </si>
  <si>
    <t xml:space="preserve">SanDisk</t>
  </si>
  <si>
    <t xml:space="preserve">Nasdaq: SNDK</t>
  </si>
  <si>
    <t xml:space="preserve">FY to Jun 2027</t>
  </si>
  <si>
    <t xml:space="preserve">NAND flash and SSDs</t>
  </si>
  <si>
    <t xml:space="preserve">Kioxia</t>
  </si>
  <si>
    <t xml:space="preserve">TSE: 285A</t>
  </si>
  <si>
    <t xml:space="preserve">JPY tn</t>
  </si>
  <si>
    <t xml:space="preserve">FY to Mar 2027</t>
  </si>
  <si>
    <t xml:space="preserve">Median, four peers</t>
  </si>
  <si>
    <t xml:space="preserve">Prices: Micron and SanDisk Nasdaq closes of 6 October 2026; SK Hynix, Samsung and Kioxia closes of 7 October 2026. Consensus from stockanalysis.com (S&amp;P Global).</t>
  </si>
  <si>
    <t xml:space="preserve">Kioxia: market value over consensus net income (no per-share consensus shown), both in JPY trillion. Fiscal year-ends differ by up to eight months, so the multiples are not on one basis; multiples only.</t>
  </si>
  <si>
    <t xml:space="preserve">No view on the peers' shares is expressed.</t>
  </si>
  <si>
    <t xml:space="preserve">SOURCES</t>
  </si>
  <si>
    <t xml:space="preserve">No.</t>
  </si>
  <si>
    <t xml:space="preserve">Source and what it supports</t>
  </si>
  <si>
    <t xml:space="preserve">Micron fourth quarter and fiscal 2026 results release, Exhibit 99.1 to Form 8-K, 30 September 2026: revenue, GAAP and non-GAAP margins, net income, EPS, business unit revenue, cash flow, cash, investments, debt, diluted shares, Q1 FY27 guide, dividend.</t>
  </si>
  <si>
    <t xml:space="preserve">Micron fiscal Q4 2026 prepared remarks, 30 September 2026: DRAM US$39.8bn and NAND US$14.1bn, bits and prices; business unit margins; HBM agreements for CY2027; 26 SCAs, over 35% of revenue through 2030, US$32bn of commitments, RPO about US$150bn, US$12.7bn of deposits; industry outlook; fab timing; FY27 opex, tax and capex.</t>
  </si>
  <si>
    <t xml:space="preserve">Micron fiscal Q3 2026 prepared remarks, 24 June 2026: Q3 figures; SCA terms, floors and ceilings at CQ2 2026 market prices; supply constraints including energy infrastructure; HBM4 ramp.</t>
  </si>
  <si>
    <t xml:space="preserve">Micron earnings calls: Q4 FY25 (23 September 2025; HBM nearly US$2bn, gross margin 45.7%), Q1 FY26 (17 December 2025; three to one trade ratio; CY2026 HBM agreed; HBM market about US$35bn in 2025 to about US$100bn in 2028), Q2 FY26 (18 March 2026), Q4 FY26 (30 September 2026; 2026 HBM prices set the year before; more than 75% of 2027 output committed; questions on peak earnings and de-speccing).</t>
  </si>
  <si>
    <t xml:space="preserve">SEC EDGAR XBRL company concept data for Micron (CIK 723125): revenue and net income, FY2016 to FY2021.</t>
  </si>
  <si>
    <t xml:space="preserve">Nasdaq.com historical prices, retrieved 7 October 2026. (Yahoo Finance chart API refused requests on 7 October 2026.)</t>
  </si>
  <si>
    <t xml:space="preserve">stockanalysis.com, retrieved 7 October 2026: consensus EPS and revenue (S&amp;P Global, updated 6 October 2026), average target, shares outstanding, FY22 to FY26 annual figures, and peer prices and consensus.</t>
  </si>
  <si>
    <t xml:space="preserve">The Physical Layer, 'Micron sells AI memory before the year starts, and each bit takes three times the wafer', 7 October 2026: https://thephysicallayer.fyi/journal/micron-three-times-the-wafer/</t>
  </si>
  <si>
    <t xml:space="preserve">Estimates for FY27 Q2 to FY28, the HBM split, normal earnings and the valuation are the author's own. Personal research, not investment advice. I hold no position in Micron.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</si>
</sst>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&quot;US$&quot;#,##0.00"/>
    <numFmt numFmtId="166" formatCode="0.0%"/>
    <numFmt numFmtId="167" formatCode="#,##0.00"/>
    <numFmt numFmtId="168" formatCode="#,##0.000"/>
    <numFmt numFmtId="169" formatCode="0.00%"/>
    <numFmt numFmtId="170" formatCode="0.00"/>
    <numFmt numFmtId="171" formatCode="0\x"/>
    <numFmt numFmtId="172" formatCode="#,##0.0"/>
    <numFmt numFmtId="173" formatCode="0%"/>
    <numFmt numFmtId="174" formatCode="0.0\x"/>
    <numFmt numFmtId="175" formatCode="0.000"/>
    <numFmt numFmtId="176" formatCode="0.0000"/>
    <numFmt numFmtId="177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Valuation!$B$13</f>
        <v>NO CALL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tr">
        <f aca="false">Valuation!$B$14</f>
        <v>None (no call)</v>
      </c>
      <c r="C6" s="7" t="s">
        <v>8</v>
      </c>
    </row>
    <row r="7" customFormat="false" ht="15" hidden="false" customHeight="false" outlineLevel="0" collapsed="false">
      <c r="A7" s="5" t="s">
        <v>9</v>
      </c>
      <c r="B7" s="9" t="s">
        <v>10</v>
      </c>
      <c r="C7" s="7" t="s">
        <v>11</v>
      </c>
    </row>
    <row r="8" customFormat="false" ht="15" hidden="false" customHeight="false" outlineLevel="0" collapsed="false">
      <c r="A8" s="5" t="s">
        <v>12</v>
      </c>
      <c r="B8" s="8" t="n">
        <f aca="false">Assumptions!$B$7</f>
        <v>1045.56</v>
      </c>
      <c r="C8" s="7" t="s">
        <v>13</v>
      </c>
    </row>
    <row r="9" customFormat="false" ht="15" hidden="false" customHeight="false" outlineLevel="0" collapsed="false">
      <c r="A9" s="5" t="s">
        <v>14</v>
      </c>
      <c r="B9" s="8" t="n">
        <f aca="false">Valuation!$B$8</f>
        <v>835.37391996424</v>
      </c>
      <c r="C9" s="7" t="s">
        <v>15</v>
      </c>
    </row>
    <row r="10" customFormat="false" ht="15" hidden="false" customHeight="false" outlineLevel="0" collapsed="false">
      <c r="A10" s="5" t="s">
        <v>16</v>
      </c>
      <c r="B10" s="10" t="n">
        <f aca="false">Valuation!$B$10</f>
        <v>-0.201027277282758</v>
      </c>
      <c r="C10" s="7"/>
    </row>
    <row r="11" customFormat="false" ht="15" hidden="false" customHeight="false" outlineLevel="0" collapsed="false">
      <c r="A11" s="5" t="s">
        <v>17</v>
      </c>
      <c r="B11" s="8" t="n">
        <f aca="false">Valuation!$B$11</f>
        <v>878.815891374139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n">
        <f aca="false">Valuation!$B$24</f>
        <v>59.3102401601831</v>
      </c>
      <c r="C12" s="7" t="s">
        <v>20</v>
      </c>
    </row>
    <row r="13" customFormat="false" ht="15" hidden="false" customHeight="false" outlineLevel="0" collapsed="false">
      <c r="A13" s="5" t="s">
        <v>21</v>
      </c>
      <c r="B13" s="6" t="str">
        <f aca="false">TEXT(Financials!D16,"0.00")&amp;" / "&amp;TEXT(Financials!E16,"0.00")</f>
        <v>167.44 / 179.96</v>
      </c>
      <c r="C13" s="7" t="s">
        <v>22</v>
      </c>
    </row>
    <row r="14" customFormat="false" ht="15" hidden="false" customHeight="false" outlineLevel="0" collapsed="false">
      <c r="A14" s="5" t="s">
        <v>23</v>
      </c>
      <c r="B14" s="9" t="s">
        <v>24</v>
      </c>
      <c r="C14" s="7"/>
    </row>
    <row r="17" customFormat="false" ht="15" hidden="false" customHeight="false" outlineLevel="0" collapsed="false">
      <c r="A17" s="11" t="s">
        <v>25</v>
      </c>
    </row>
    <row r="18" customFormat="false" ht="15" hidden="false" customHeight="false" outlineLevel="0" collapsed="false">
      <c r="A18" s="0" t="s">
        <v>26</v>
      </c>
      <c r="B18" s="0" t="s">
        <v>27</v>
      </c>
    </row>
    <row r="19" customFormat="false" ht="15" hidden="false" customHeight="false" outlineLevel="0" collapsed="false">
      <c r="A19" s="0" t="s">
        <v>28</v>
      </c>
      <c r="B19" s="0" t="s">
        <v>29</v>
      </c>
    </row>
    <row r="20" customFormat="false" ht="15" hidden="false" customHeight="false" outlineLevel="0" collapsed="false">
      <c r="A20" s="0" t="s">
        <v>30</v>
      </c>
      <c r="B20" s="0" t="s">
        <v>31</v>
      </c>
    </row>
    <row r="21" customFormat="false" ht="15" hidden="false" customHeight="false" outlineLevel="0" collapsed="false">
      <c r="A21" s="0" t="s">
        <v>32</v>
      </c>
      <c r="B21" s="0" t="s">
        <v>33</v>
      </c>
    </row>
    <row r="22" customFormat="false" ht="15" hidden="false" customHeight="false" outlineLevel="0" collapsed="false">
      <c r="A22" s="0" t="s">
        <v>34</v>
      </c>
      <c r="B22" s="0" t="s">
        <v>35</v>
      </c>
    </row>
    <row r="23" customFormat="false" ht="15" hidden="false" customHeight="false" outlineLevel="0" collapsed="false">
      <c r="A23" s="0" t="s">
        <v>36</v>
      </c>
      <c r="B23" s="0" t="s">
        <v>37</v>
      </c>
    </row>
    <row r="24" customFormat="false" ht="15" hidden="false" customHeight="false" outlineLevel="0" collapsed="false">
      <c r="A24" s="0" t="s">
        <v>38</v>
      </c>
      <c r="B24" s="0" t="s">
        <v>39</v>
      </c>
    </row>
    <row r="25" customFormat="false" ht="15" hidden="false" customHeight="false" outlineLevel="0" collapsed="false">
      <c r="A25" s="0" t="s">
        <v>40</v>
      </c>
      <c r="B25" s="0" t="s">
        <v>41</v>
      </c>
    </row>
    <row r="26" customFormat="false" ht="15" hidden="false" customHeight="false" outlineLevel="0" collapsed="false">
      <c r="A26" s="0" t="s">
        <v>42</v>
      </c>
      <c r="B26" s="0" t="s">
        <v>43</v>
      </c>
    </row>
    <row r="29" customFormat="false" ht="15" hidden="false" customHeight="false" outlineLevel="0" collapsed="false">
      <c r="A29" s="12" t="s">
        <v>44</v>
      </c>
    </row>
    <row r="30" customFormat="false" ht="15" hidden="false" customHeight="false" outlineLevel="0" collapsed="false">
      <c r="A30" s="1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47</v>
      </c>
    </row>
    <row r="5" customFormat="false" ht="15" hidden="false" customHeight="false" outlineLevel="0" collapsed="false">
      <c r="A5" s="3" t="s">
        <v>48</v>
      </c>
      <c r="B5" s="4" t="s">
        <v>3</v>
      </c>
      <c r="C5" s="4" t="s">
        <v>49</v>
      </c>
      <c r="D5" s="4" t="s">
        <v>50</v>
      </c>
    </row>
    <row r="6" customFormat="false" ht="15" hidden="false" customHeight="false" outlineLevel="0" collapsed="false">
      <c r="A6" s="11" t="s">
        <v>51</v>
      </c>
    </row>
    <row r="7" customFormat="false" ht="15" hidden="false" customHeight="false" outlineLevel="0" collapsed="false">
      <c r="A7" s="0" t="s">
        <v>52</v>
      </c>
      <c r="B7" s="13" t="n">
        <v>1045.56</v>
      </c>
      <c r="C7" s="0" t="s">
        <v>53</v>
      </c>
      <c r="D7" s="7" t="s">
        <v>54</v>
      </c>
    </row>
    <row r="8" customFormat="false" ht="15" hidden="false" customHeight="false" outlineLevel="0" collapsed="false">
      <c r="A8" s="0" t="s">
        <v>55</v>
      </c>
      <c r="B8" s="13" t="n">
        <v>1213.56</v>
      </c>
      <c r="C8" s="0" t="s">
        <v>53</v>
      </c>
      <c r="D8" s="7" t="s">
        <v>56</v>
      </c>
    </row>
    <row r="9" customFormat="false" ht="15" hidden="false" customHeight="false" outlineLevel="0" collapsed="false">
      <c r="A9" s="0" t="s">
        <v>57</v>
      </c>
      <c r="B9" s="13" t="n">
        <v>181.6</v>
      </c>
      <c r="C9" s="0" t="s">
        <v>53</v>
      </c>
      <c r="D9" s="7" t="s">
        <v>58</v>
      </c>
    </row>
    <row r="10" customFormat="false" ht="15" hidden="false" customHeight="false" outlineLevel="0" collapsed="false">
      <c r="A10" s="0" t="s">
        <v>59</v>
      </c>
      <c r="B10" s="13" t="n">
        <v>285.41</v>
      </c>
      <c r="C10" s="0" t="s">
        <v>53</v>
      </c>
      <c r="D10" s="7" t="s">
        <v>60</v>
      </c>
    </row>
    <row r="11" customFormat="false" ht="15" hidden="false" customHeight="false" outlineLevel="0" collapsed="false">
      <c r="A11" s="0" t="s">
        <v>61</v>
      </c>
      <c r="B11" s="13" t="n">
        <v>97.36</v>
      </c>
      <c r="C11" s="0" t="s">
        <v>53</v>
      </c>
      <c r="D11" s="7" t="s">
        <v>60</v>
      </c>
    </row>
    <row r="12" customFormat="false" ht="15" hidden="false" customHeight="false" outlineLevel="0" collapsed="false">
      <c r="A12" s="0" t="s">
        <v>62</v>
      </c>
      <c r="B12" s="13" t="n">
        <v>48.88</v>
      </c>
      <c r="C12" s="0" t="s">
        <v>53</v>
      </c>
      <c r="D12" s="7" t="s">
        <v>60</v>
      </c>
    </row>
    <row r="13" customFormat="false" ht="15" hidden="false" customHeight="false" outlineLevel="0" collapsed="false">
      <c r="A13" s="0" t="s">
        <v>63</v>
      </c>
      <c r="B13" s="14" t="n">
        <v>1.13</v>
      </c>
      <c r="C13" s="0" t="s">
        <v>64</v>
      </c>
      <c r="D13" s="7" t="s">
        <v>65</v>
      </c>
    </row>
    <row r="14" customFormat="false" ht="15" hidden="false" customHeight="false" outlineLevel="0" collapsed="false">
      <c r="A14" s="0" t="s">
        <v>66</v>
      </c>
      <c r="B14" s="14" t="n">
        <v>73.453</v>
      </c>
      <c r="C14" s="0" t="s">
        <v>67</v>
      </c>
      <c r="D14" s="7" t="s">
        <v>68</v>
      </c>
    </row>
    <row r="15" customFormat="false" ht="15" hidden="false" customHeight="false" outlineLevel="0" collapsed="false">
      <c r="A15" s="0" t="s">
        <v>69</v>
      </c>
      <c r="B15" s="14" t="n">
        <v>5.179</v>
      </c>
      <c r="C15" s="0" t="s">
        <v>67</v>
      </c>
      <c r="D15" s="7" t="s">
        <v>70</v>
      </c>
    </row>
    <row r="16" customFormat="false" ht="15" hidden="false" customHeight="false" outlineLevel="0" collapsed="false">
      <c r="A16" s="0" t="s">
        <v>71</v>
      </c>
      <c r="B16" s="14" t="n">
        <v>12.7</v>
      </c>
      <c r="C16" s="0" t="s">
        <v>67</v>
      </c>
      <c r="D16" s="7" t="s">
        <v>72</v>
      </c>
    </row>
    <row r="17" customFormat="false" ht="15" hidden="false" customHeight="false" outlineLevel="0" collapsed="false">
      <c r="A17" s="0" t="s">
        <v>73</v>
      </c>
      <c r="B17" s="13" t="n">
        <v>176.15</v>
      </c>
      <c r="C17" s="0" t="s">
        <v>53</v>
      </c>
      <c r="D17" s="7" t="s">
        <v>74</v>
      </c>
    </row>
    <row r="18" customFormat="false" ht="15" hidden="false" customHeight="false" outlineLevel="0" collapsed="false">
      <c r="A18" s="0" t="s">
        <v>75</v>
      </c>
      <c r="B18" s="13" t="n">
        <v>206.33</v>
      </c>
      <c r="C18" s="0" t="s">
        <v>53</v>
      </c>
      <c r="D18" s="7" t="s">
        <v>76</v>
      </c>
    </row>
    <row r="19" customFormat="false" ht="15" hidden="false" customHeight="false" outlineLevel="0" collapsed="false">
      <c r="A19" s="0" t="s">
        <v>77</v>
      </c>
      <c r="B19" s="14" t="n">
        <v>275.01</v>
      </c>
      <c r="C19" s="0" t="s">
        <v>67</v>
      </c>
      <c r="D19" s="7" t="s">
        <v>76</v>
      </c>
    </row>
    <row r="20" customFormat="false" ht="15" hidden="false" customHeight="false" outlineLevel="0" collapsed="false">
      <c r="A20" s="0" t="s">
        <v>78</v>
      </c>
      <c r="B20" s="14" t="n">
        <v>314.64</v>
      </c>
      <c r="C20" s="0" t="s">
        <v>67</v>
      </c>
      <c r="D20" s="7" t="s">
        <v>76</v>
      </c>
    </row>
    <row r="21" customFormat="false" ht="15" hidden="false" customHeight="false" outlineLevel="0" collapsed="false">
      <c r="A21" s="0" t="s">
        <v>79</v>
      </c>
      <c r="B21" s="13" t="n">
        <v>1535.57</v>
      </c>
      <c r="C21" s="0" t="s">
        <v>53</v>
      </c>
      <c r="D21" s="7" t="s">
        <v>80</v>
      </c>
    </row>
    <row r="22" customFormat="false" ht="15" hidden="false" customHeight="false" outlineLevel="0" collapsed="false">
      <c r="A22" s="11" t="s">
        <v>81</v>
      </c>
    </row>
    <row r="23" customFormat="false" ht="15" hidden="false" customHeight="false" outlineLevel="0" collapsed="false">
      <c r="A23" s="0" t="s">
        <v>82</v>
      </c>
      <c r="B23" s="14" t="n">
        <v>37.378</v>
      </c>
      <c r="C23" s="0" t="s">
        <v>67</v>
      </c>
      <c r="D23" s="7" t="s">
        <v>83</v>
      </c>
    </row>
    <row r="24" customFormat="false" ht="15" hidden="false" customHeight="false" outlineLevel="0" collapsed="false">
      <c r="A24" s="0" t="s">
        <v>84</v>
      </c>
      <c r="B24" s="14" t="n">
        <v>9.47</v>
      </c>
      <c r="C24" s="0" t="s">
        <v>67</v>
      </c>
      <c r="D24" s="7" t="s">
        <v>85</v>
      </c>
    </row>
    <row r="25" customFormat="false" ht="15" hidden="false" customHeight="false" outlineLevel="0" collapsed="false">
      <c r="A25" s="0" t="s">
        <v>86</v>
      </c>
      <c r="B25" s="13" t="n">
        <v>8.29</v>
      </c>
      <c r="C25" s="0" t="s">
        <v>53</v>
      </c>
      <c r="D25" s="7" t="s">
        <v>85</v>
      </c>
    </row>
    <row r="26" customFormat="false" ht="15" hidden="false" customHeight="false" outlineLevel="0" collapsed="false">
      <c r="A26" s="0" t="s">
        <v>87</v>
      </c>
      <c r="B26" s="15" t="n">
        <v>0.409</v>
      </c>
      <c r="C26" s="0" t="s">
        <v>88</v>
      </c>
      <c r="D26" s="7" t="s">
        <v>89</v>
      </c>
    </row>
    <row r="27" customFormat="false" ht="15" hidden="false" customHeight="false" outlineLevel="0" collapsed="false">
      <c r="A27" s="0" t="s">
        <v>90</v>
      </c>
      <c r="B27" s="14" t="n">
        <v>133.188</v>
      </c>
      <c r="C27" s="0" t="s">
        <v>67</v>
      </c>
      <c r="D27" s="7" t="s">
        <v>91</v>
      </c>
    </row>
    <row r="28" customFormat="false" ht="15" hidden="false" customHeight="false" outlineLevel="0" collapsed="false">
      <c r="A28" s="0" t="s">
        <v>92</v>
      </c>
      <c r="B28" s="14" t="n">
        <v>86.758</v>
      </c>
      <c r="C28" s="0" t="s">
        <v>67</v>
      </c>
      <c r="D28" s="7" t="s">
        <v>85</v>
      </c>
    </row>
    <row r="29" customFormat="false" ht="15" hidden="false" customHeight="false" outlineLevel="0" collapsed="false">
      <c r="A29" s="0" t="s">
        <v>93</v>
      </c>
      <c r="B29" s="13" t="n">
        <v>75.52</v>
      </c>
      <c r="C29" s="0" t="s">
        <v>53</v>
      </c>
      <c r="D29" s="7" t="s">
        <v>85</v>
      </c>
    </row>
    <row r="30" customFormat="false" ht="15" hidden="false" customHeight="false" outlineLevel="0" collapsed="false">
      <c r="A30" s="0" t="s">
        <v>94</v>
      </c>
      <c r="B30" s="15" t="n">
        <v>0.811</v>
      </c>
      <c r="C30" s="0" t="s">
        <v>88</v>
      </c>
      <c r="D30" s="7" t="s">
        <v>95</v>
      </c>
    </row>
    <row r="31" customFormat="false" ht="15" hidden="false" customHeight="false" outlineLevel="0" collapsed="false">
      <c r="A31" s="0" t="s">
        <v>96</v>
      </c>
      <c r="B31" s="14" t="n">
        <v>100.7</v>
      </c>
      <c r="C31" s="0" t="s">
        <v>67</v>
      </c>
      <c r="D31" s="7" t="s">
        <v>97</v>
      </c>
    </row>
    <row r="32" customFormat="false" ht="15" hidden="false" customHeight="false" outlineLevel="0" collapsed="false">
      <c r="A32" s="0" t="s">
        <v>98</v>
      </c>
      <c r="B32" s="14" t="n">
        <v>31.7</v>
      </c>
      <c r="C32" s="0" t="s">
        <v>67</v>
      </c>
      <c r="D32" s="7" t="s">
        <v>99</v>
      </c>
    </row>
    <row r="33" customFormat="false" ht="15" hidden="false" customHeight="false" outlineLevel="0" collapsed="false">
      <c r="A33" s="0" t="s">
        <v>100</v>
      </c>
      <c r="B33" s="14" t="n">
        <v>61.5</v>
      </c>
      <c r="C33" s="0" t="s">
        <v>67</v>
      </c>
      <c r="D33" s="7" t="s">
        <v>101</v>
      </c>
    </row>
    <row r="34" customFormat="false" ht="15" hidden="false" customHeight="false" outlineLevel="0" collapsed="false">
      <c r="A34" s="0" t="s">
        <v>102</v>
      </c>
      <c r="B34" s="15" t="n">
        <v>0.8625</v>
      </c>
      <c r="C34" s="0" t="s">
        <v>88</v>
      </c>
      <c r="D34" s="7" t="s">
        <v>103</v>
      </c>
    </row>
    <row r="35" customFormat="false" ht="15" hidden="false" customHeight="false" outlineLevel="0" collapsed="false">
      <c r="A35" s="0" t="s">
        <v>104</v>
      </c>
      <c r="B35" s="14" t="n">
        <v>2.06</v>
      </c>
      <c r="C35" s="0" t="s">
        <v>67</v>
      </c>
      <c r="D35" s="7" t="s">
        <v>105</v>
      </c>
    </row>
    <row r="36" customFormat="false" ht="15" hidden="false" customHeight="false" outlineLevel="0" collapsed="false">
      <c r="A36" s="0" t="s">
        <v>106</v>
      </c>
      <c r="B36" s="13" t="n">
        <v>38.15</v>
      </c>
      <c r="C36" s="0" t="s">
        <v>53</v>
      </c>
      <c r="D36" s="7" t="s">
        <v>107</v>
      </c>
    </row>
    <row r="37" customFormat="false" ht="15" hidden="false" customHeight="false" outlineLevel="0" collapsed="false">
      <c r="A37" s="0" t="s">
        <v>108</v>
      </c>
      <c r="B37" s="15" t="n">
        <v>0.155</v>
      </c>
      <c r="C37" s="0" t="s">
        <v>88</v>
      </c>
      <c r="D37" s="7" t="s">
        <v>109</v>
      </c>
    </row>
    <row r="38" customFormat="false" ht="15" hidden="false" customHeight="false" outlineLevel="0" collapsed="false">
      <c r="A38" s="0" t="s">
        <v>110</v>
      </c>
      <c r="B38" s="14" t="n">
        <v>2.5</v>
      </c>
      <c r="C38" s="0" t="s">
        <v>67</v>
      </c>
      <c r="D38" s="7" t="s">
        <v>111</v>
      </c>
    </row>
    <row r="39" customFormat="false" ht="15" hidden="false" customHeight="false" outlineLevel="0" collapsed="false">
      <c r="A39" s="0" t="s">
        <v>112</v>
      </c>
      <c r="B39" s="14" t="n">
        <v>25</v>
      </c>
      <c r="C39" s="0" t="s">
        <v>67</v>
      </c>
      <c r="D39" s="7" t="s">
        <v>113</v>
      </c>
    </row>
    <row r="40" customFormat="false" ht="15" hidden="false" customHeight="false" outlineLevel="0" collapsed="false">
      <c r="A40" s="0" t="s">
        <v>114</v>
      </c>
      <c r="B40" s="13" t="n">
        <v>0.6</v>
      </c>
      <c r="C40" s="0" t="s">
        <v>53</v>
      </c>
      <c r="D40" s="7" t="s">
        <v>115</v>
      </c>
    </row>
    <row r="41" customFormat="false" ht="15" hidden="false" customHeight="false" outlineLevel="0" collapsed="false">
      <c r="A41" s="11" t="s">
        <v>116</v>
      </c>
    </row>
    <row r="42" customFormat="false" ht="15" hidden="false" customHeight="false" outlineLevel="0" collapsed="false">
      <c r="A42" s="0" t="s">
        <v>117</v>
      </c>
      <c r="B42" s="16" t="n">
        <v>1.15</v>
      </c>
      <c r="C42" s="0" t="s">
        <v>64</v>
      </c>
      <c r="D42" s="7" t="s">
        <v>118</v>
      </c>
    </row>
    <row r="43" customFormat="false" ht="15" hidden="false" customHeight="false" outlineLevel="0" collapsed="false">
      <c r="A43" s="0" t="s">
        <v>119</v>
      </c>
      <c r="B43" s="16" t="n">
        <v>65.2</v>
      </c>
      <c r="C43" s="0" t="s">
        <v>67</v>
      </c>
      <c r="D43" s="7" t="s">
        <v>120</v>
      </c>
    </row>
    <row r="44" customFormat="false" ht="15" hidden="false" customHeight="false" outlineLevel="0" collapsed="false">
      <c r="A44" s="0" t="s">
        <v>121</v>
      </c>
      <c r="B44" s="16" t="n">
        <v>68.4</v>
      </c>
      <c r="C44" s="0" t="s">
        <v>67</v>
      </c>
      <c r="D44" s="7" t="s">
        <v>122</v>
      </c>
    </row>
    <row r="45" customFormat="false" ht="15" hidden="false" customHeight="false" outlineLevel="0" collapsed="false">
      <c r="A45" s="0" t="s">
        <v>123</v>
      </c>
      <c r="B45" s="16" t="n">
        <v>71.2</v>
      </c>
      <c r="C45" s="0" t="s">
        <v>67</v>
      </c>
      <c r="D45" s="7" t="s">
        <v>122</v>
      </c>
    </row>
    <row r="46" customFormat="false" ht="15" hidden="false" customHeight="false" outlineLevel="0" collapsed="false">
      <c r="A46" s="0" t="s">
        <v>124</v>
      </c>
      <c r="B46" s="17" t="n">
        <v>0.875</v>
      </c>
      <c r="C46" s="0" t="s">
        <v>88</v>
      </c>
      <c r="D46" s="7" t="s">
        <v>125</v>
      </c>
    </row>
    <row r="47" customFormat="false" ht="15" hidden="false" customHeight="false" outlineLevel="0" collapsed="false">
      <c r="A47" s="0" t="s">
        <v>126</v>
      </c>
      <c r="B47" s="17" t="n">
        <v>0.88</v>
      </c>
      <c r="C47" s="0" t="s">
        <v>88</v>
      </c>
      <c r="D47" s="7" t="s">
        <v>122</v>
      </c>
    </row>
    <row r="48" customFormat="false" ht="15" hidden="false" customHeight="false" outlineLevel="0" collapsed="false">
      <c r="A48" s="0" t="s">
        <v>127</v>
      </c>
      <c r="B48" s="17" t="n">
        <v>0.88</v>
      </c>
      <c r="C48" s="0" t="s">
        <v>88</v>
      </c>
      <c r="D48" s="7" t="s">
        <v>122</v>
      </c>
    </row>
    <row r="49" customFormat="false" ht="15" hidden="false" customHeight="false" outlineLevel="0" collapsed="false">
      <c r="A49" s="0" t="s">
        <v>128</v>
      </c>
      <c r="B49" s="16" t="n">
        <v>2.4</v>
      </c>
      <c r="C49" s="0" t="s">
        <v>67</v>
      </c>
      <c r="D49" s="7" t="s">
        <v>129</v>
      </c>
    </row>
    <row r="50" customFormat="false" ht="15" hidden="false" customHeight="false" outlineLevel="0" collapsed="false">
      <c r="A50" s="0" t="s">
        <v>130</v>
      </c>
      <c r="B50" s="16" t="n">
        <v>2.42</v>
      </c>
      <c r="C50" s="0" t="s">
        <v>67</v>
      </c>
      <c r="D50" s="7" t="s">
        <v>122</v>
      </c>
    </row>
    <row r="51" customFormat="false" ht="15" hidden="false" customHeight="false" outlineLevel="0" collapsed="false">
      <c r="A51" s="0" t="s">
        <v>131</v>
      </c>
      <c r="B51" s="16" t="n">
        <v>2.42</v>
      </c>
      <c r="C51" s="0" t="s">
        <v>67</v>
      </c>
      <c r="D51" s="7" t="s">
        <v>122</v>
      </c>
    </row>
    <row r="52" customFormat="false" ht="15" hidden="false" customHeight="false" outlineLevel="0" collapsed="false">
      <c r="A52" s="0" t="s">
        <v>132</v>
      </c>
      <c r="B52" s="16" t="n">
        <v>1</v>
      </c>
      <c r="C52" s="0" t="s">
        <v>67</v>
      </c>
      <c r="D52" s="7" t="s">
        <v>133</v>
      </c>
    </row>
    <row r="53" customFormat="false" ht="15" hidden="false" customHeight="false" outlineLevel="0" collapsed="false">
      <c r="A53" s="0" t="s">
        <v>134</v>
      </c>
      <c r="B53" s="16" t="n">
        <v>1.1</v>
      </c>
      <c r="C53" s="0" t="s">
        <v>67</v>
      </c>
      <c r="D53" s="7" t="s">
        <v>122</v>
      </c>
    </row>
    <row r="54" customFormat="false" ht="15" hidden="false" customHeight="false" outlineLevel="0" collapsed="false">
      <c r="A54" s="0" t="s">
        <v>135</v>
      </c>
      <c r="B54" s="16" t="n">
        <v>1.2</v>
      </c>
      <c r="C54" s="0" t="s">
        <v>67</v>
      </c>
      <c r="D54" s="7" t="s">
        <v>122</v>
      </c>
    </row>
    <row r="55" customFormat="false" ht="15" hidden="false" customHeight="false" outlineLevel="0" collapsed="false">
      <c r="A55" s="0" t="s">
        <v>136</v>
      </c>
      <c r="B55" s="17" t="n">
        <v>0.1</v>
      </c>
      <c r="C55" s="0" t="s">
        <v>88</v>
      </c>
      <c r="D55" s="7" t="s">
        <v>137</v>
      </c>
    </row>
    <row r="56" customFormat="false" ht="15" hidden="false" customHeight="false" outlineLevel="0" collapsed="false">
      <c r="A56" s="0" t="s">
        <v>138</v>
      </c>
      <c r="B56" s="17" t="n">
        <v>0.86</v>
      </c>
      <c r="C56" s="0" t="s">
        <v>88</v>
      </c>
      <c r="D56" s="7" t="s">
        <v>122</v>
      </c>
    </row>
    <row r="57" customFormat="false" ht="15" hidden="false" customHeight="false" outlineLevel="0" collapsed="false">
      <c r="A57" s="0" t="s">
        <v>139</v>
      </c>
      <c r="B57" s="16" t="n">
        <v>11</v>
      </c>
      <c r="C57" s="0" t="s">
        <v>67</v>
      </c>
      <c r="D57" s="7" t="s">
        <v>122</v>
      </c>
    </row>
    <row r="58" customFormat="false" ht="15" hidden="false" customHeight="false" outlineLevel="0" collapsed="false">
      <c r="A58" s="0" t="s">
        <v>140</v>
      </c>
      <c r="B58" s="16" t="n">
        <v>4</v>
      </c>
      <c r="C58" s="0" t="s">
        <v>67</v>
      </c>
      <c r="D58" s="7" t="s">
        <v>122</v>
      </c>
    </row>
    <row r="59" customFormat="false" ht="15" hidden="false" customHeight="false" outlineLevel="0" collapsed="false">
      <c r="A59" s="0" t="s">
        <v>141</v>
      </c>
      <c r="B59" s="16" t="n">
        <v>13</v>
      </c>
      <c r="C59" s="0" t="s">
        <v>67</v>
      </c>
      <c r="D59" s="7" t="s">
        <v>142</v>
      </c>
    </row>
    <row r="60" customFormat="false" ht="15" hidden="false" customHeight="false" outlineLevel="0" collapsed="false">
      <c r="A60" s="0" t="s">
        <v>143</v>
      </c>
      <c r="B60" s="16" t="n">
        <v>55</v>
      </c>
      <c r="C60" s="0" t="s">
        <v>67</v>
      </c>
      <c r="D60" s="7" t="s">
        <v>144</v>
      </c>
    </row>
    <row r="61" customFormat="false" ht="15" hidden="false" customHeight="false" outlineLevel="0" collapsed="false">
      <c r="A61" s="0" t="s">
        <v>145</v>
      </c>
      <c r="B61" s="16" t="n">
        <v>5</v>
      </c>
      <c r="C61" s="0" t="s">
        <v>67</v>
      </c>
      <c r="D61" s="7" t="s">
        <v>122</v>
      </c>
    </row>
    <row r="62" customFormat="false" ht="15" hidden="false" customHeight="false" outlineLevel="0" collapsed="false">
      <c r="A62" s="0" t="s">
        <v>146</v>
      </c>
      <c r="B62" s="16" t="n">
        <v>10</v>
      </c>
      <c r="C62" s="0" t="s">
        <v>67</v>
      </c>
      <c r="D62" s="7" t="s">
        <v>147</v>
      </c>
    </row>
    <row r="63" customFormat="false" ht="23.85" hidden="false" customHeight="false" outlineLevel="0" collapsed="false">
      <c r="A63" s="0" t="s">
        <v>148</v>
      </c>
      <c r="B63" s="16" t="n">
        <v>16</v>
      </c>
      <c r="C63" s="0" t="s">
        <v>67</v>
      </c>
      <c r="D63" s="7" t="s">
        <v>149</v>
      </c>
    </row>
    <row r="64" customFormat="false" ht="15" hidden="false" customHeight="false" outlineLevel="0" collapsed="false">
      <c r="A64" s="0" t="s">
        <v>150</v>
      </c>
      <c r="B64" s="16" t="n">
        <v>22</v>
      </c>
      <c r="C64" s="0" t="s">
        <v>67</v>
      </c>
      <c r="D64" s="7" t="s">
        <v>151</v>
      </c>
    </row>
    <row r="65" customFormat="false" ht="15" hidden="false" customHeight="false" outlineLevel="0" collapsed="false">
      <c r="A65" s="0" t="s">
        <v>152</v>
      </c>
      <c r="B65" s="16" t="n">
        <v>72</v>
      </c>
      <c r="C65" s="0" t="s">
        <v>67</v>
      </c>
      <c r="D65" s="7" t="s">
        <v>153</v>
      </c>
    </row>
    <row r="66" customFormat="false" ht="15" hidden="false" customHeight="false" outlineLevel="0" collapsed="false">
      <c r="A66" s="0" t="s">
        <v>154</v>
      </c>
      <c r="B66" s="16" t="n">
        <v>80</v>
      </c>
      <c r="C66" s="0" t="s">
        <v>67</v>
      </c>
      <c r="D66" s="7" t="s">
        <v>122</v>
      </c>
    </row>
    <row r="67" customFormat="false" ht="15" hidden="false" customHeight="false" outlineLevel="0" collapsed="false">
      <c r="A67" s="11" t="s">
        <v>155</v>
      </c>
    </row>
    <row r="68" customFormat="false" ht="15" hidden="false" customHeight="false" outlineLevel="0" collapsed="false">
      <c r="A68" s="0" t="s">
        <v>156</v>
      </c>
      <c r="B68" s="18" t="n">
        <v>1.2</v>
      </c>
      <c r="C68" s="0" t="s">
        <v>157</v>
      </c>
      <c r="D68" s="7" t="s">
        <v>158</v>
      </c>
    </row>
    <row r="69" customFormat="false" ht="15" hidden="false" customHeight="false" outlineLevel="0" collapsed="false">
      <c r="A69" s="0" t="s">
        <v>159</v>
      </c>
      <c r="B69" s="16" t="n">
        <v>4</v>
      </c>
      <c r="C69" s="0" t="s">
        <v>160</v>
      </c>
      <c r="D69" s="7" t="s">
        <v>161</v>
      </c>
    </row>
    <row r="70" customFormat="false" ht="15" hidden="false" customHeight="false" outlineLevel="0" collapsed="false">
      <c r="A70" s="0" t="s">
        <v>162</v>
      </c>
      <c r="B70" s="17" t="n">
        <v>0.55</v>
      </c>
      <c r="C70" s="0" t="s">
        <v>88</v>
      </c>
      <c r="D70" s="7" t="s">
        <v>122</v>
      </c>
    </row>
    <row r="71" customFormat="false" ht="15" hidden="false" customHeight="false" outlineLevel="0" collapsed="false">
      <c r="A71" s="0" t="s">
        <v>163</v>
      </c>
      <c r="B71" s="17" t="n">
        <v>0.3</v>
      </c>
      <c r="C71" s="0" t="s">
        <v>88</v>
      </c>
      <c r="D71" s="7" t="s">
        <v>164</v>
      </c>
    </row>
    <row r="72" customFormat="false" ht="15" hidden="false" customHeight="false" outlineLevel="0" collapsed="false">
      <c r="A72" s="0" t="s">
        <v>165</v>
      </c>
      <c r="B72" s="19" t="n">
        <v>12</v>
      </c>
      <c r="C72" s="0" t="s">
        <v>157</v>
      </c>
      <c r="D72" s="7" t="s">
        <v>122</v>
      </c>
    </row>
    <row r="73" customFormat="false" ht="15" hidden="false" customHeight="false" outlineLevel="0" collapsed="false">
      <c r="A73" s="0" t="s">
        <v>166</v>
      </c>
      <c r="B73" s="17" t="n">
        <v>0.1</v>
      </c>
      <c r="C73" s="0" t="s">
        <v>88</v>
      </c>
      <c r="D73" s="7" t="s">
        <v>122</v>
      </c>
    </row>
    <row r="74" customFormat="false" ht="15" hidden="false" customHeight="false" outlineLevel="0" collapsed="false">
      <c r="A74" s="0" t="s">
        <v>167</v>
      </c>
      <c r="B74" s="17" t="n">
        <v>1</v>
      </c>
      <c r="C74" s="0" t="s">
        <v>88</v>
      </c>
      <c r="D74" s="7" t="s">
        <v>168</v>
      </c>
    </row>
    <row r="75" customFormat="false" ht="15" hidden="false" customHeight="false" outlineLevel="0" collapsed="false">
      <c r="A75" s="0" t="s">
        <v>169</v>
      </c>
      <c r="B75" s="17" t="n">
        <v>0.5</v>
      </c>
      <c r="C75" s="0" t="s">
        <v>88</v>
      </c>
      <c r="D75" s="7" t="s">
        <v>170</v>
      </c>
    </row>
    <row r="76" customFormat="false" ht="15" hidden="false" customHeight="false" outlineLevel="0" collapsed="false">
      <c r="A76" s="0" t="s">
        <v>171</v>
      </c>
      <c r="B76" s="17" t="n">
        <v>0</v>
      </c>
      <c r="C76" s="0" t="s">
        <v>88</v>
      </c>
      <c r="D76" s="7" t="s">
        <v>172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10" min="2" style="0" width="11"/>
  </cols>
  <sheetData>
    <row r="1" customFormat="false" ht="15" hidden="false" customHeight="false" outlineLevel="0" collapsed="false">
      <c r="A1" s="1" t="s">
        <v>173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174</v>
      </c>
      <c r="B4" s="4" t="s">
        <v>175</v>
      </c>
      <c r="C4" s="4" t="s">
        <v>176</v>
      </c>
      <c r="D4" s="4" t="s">
        <v>177</v>
      </c>
      <c r="E4" s="4" t="s">
        <v>178</v>
      </c>
      <c r="F4" s="4" t="s">
        <v>179</v>
      </c>
      <c r="G4" s="4" t="s">
        <v>180</v>
      </c>
      <c r="H4" s="4" t="s">
        <v>181</v>
      </c>
      <c r="I4" s="4" t="s">
        <v>182</v>
      </c>
      <c r="J4" s="4" t="s">
        <v>183</v>
      </c>
    </row>
    <row r="5" customFormat="false" ht="15" hidden="false" customHeight="false" outlineLevel="0" collapsed="false">
      <c r="A5" s="5" t="s">
        <v>184</v>
      </c>
      <c r="B5" s="20" t="n">
        <v>11.315</v>
      </c>
      <c r="C5" s="20" t="n">
        <v>13.643</v>
      </c>
      <c r="D5" s="20" t="n">
        <v>23.86</v>
      </c>
      <c r="E5" s="20" t="n">
        <v>41.456</v>
      </c>
      <c r="F5" s="20" t="n">
        <v>54.229</v>
      </c>
      <c r="G5" s="21" t="n">
        <f aca="false">Assumptions!$B$33</f>
        <v>61.5</v>
      </c>
      <c r="H5" s="21" t="n">
        <f aca="false">Assumptions!$B$43</f>
        <v>65.2</v>
      </c>
      <c r="I5" s="21" t="n">
        <f aca="false">Assumptions!$B$44</f>
        <v>68.4</v>
      </c>
      <c r="J5" s="21" t="n">
        <f aca="false">Assumptions!$B$45</f>
        <v>71.2</v>
      </c>
    </row>
    <row r="6" customFormat="false" ht="15" hidden="false" customHeight="false" outlineLevel="0" collapsed="false">
      <c r="A6" s="22" t="s">
        <v>185</v>
      </c>
      <c r="B6" s="23" t="n">
        <v>8.98</v>
      </c>
      <c r="C6" s="23" t="n">
        <v>10.8</v>
      </c>
      <c r="D6" s="23" t="n">
        <v>18.8</v>
      </c>
      <c r="E6" s="23" t="n">
        <v>31.3</v>
      </c>
      <c r="F6" s="23" t="n">
        <v>39.8</v>
      </c>
      <c r="G6" s="24"/>
      <c r="H6" s="24"/>
      <c r="I6" s="24"/>
      <c r="J6" s="24"/>
    </row>
    <row r="7" customFormat="false" ht="15" hidden="false" customHeight="false" outlineLevel="0" collapsed="false">
      <c r="A7" s="22" t="s">
        <v>186</v>
      </c>
      <c r="B7" s="23" t="n">
        <v>2.25</v>
      </c>
      <c r="C7" s="23" t="n">
        <v>2.7</v>
      </c>
      <c r="D7" s="23" t="n">
        <v>5</v>
      </c>
      <c r="E7" s="23" t="n">
        <v>9.9</v>
      </c>
      <c r="F7" s="23" t="n">
        <v>14.1</v>
      </c>
      <c r="G7" s="24"/>
      <c r="H7" s="24"/>
      <c r="I7" s="24"/>
      <c r="J7" s="24"/>
    </row>
    <row r="8" customFormat="false" ht="15" hidden="false" customHeight="false" outlineLevel="0" collapsed="false">
      <c r="A8" s="22" t="s">
        <v>187</v>
      </c>
      <c r="B8" s="25"/>
      <c r="C8" s="25" t="n">
        <f aca="false">C5/B5-1</f>
        <v>0.205744586831639</v>
      </c>
      <c r="D8" s="25" t="n">
        <f aca="false">D5/C5-1</f>
        <v>0.74888221065748</v>
      </c>
      <c r="E8" s="25" t="n">
        <f aca="false">E5/D5-1</f>
        <v>0.737468566638726</v>
      </c>
      <c r="F8" s="25" t="n">
        <f aca="false">F5/E5-1</f>
        <v>0.308109803164801</v>
      </c>
      <c r="G8" s="25" t="n">
        <f aca="false">G5/F5-1</f>
        <v>0.134079551531468</v>
      </c>
      <c r="H8" s="25" t="n">
        <f aca="false">H5/G5-1</f>
        <v>0.0601626016260164</v>
      </c>
      <c r="I8" s="25" t="n">
        <f aca="false">I5/H5-1</f>
        <v>0.0490797546012269</v>
      </c>
      <c r="J8" s="25" t="n">
        <f aca="false">J5/I5-1</f>
        <v>0.0409356725146199</v>
      </c>
    </row>
    <row r="9" customFormat="false" ht="15" hidden="false" customHeight="false" outlineLevel="0" collapsed="false">
      <c r="A9" s="22" t="s">
        <v>188</v>
      </c>
      <c r="B9" s="26" t="n">
        <v>0.457</v>
      </c>
      <c r="C9" s="26" t="n">
        <v>0.568</v>
      </c>
      <c r="D9" s="26" t="n">
        <v>0.75</v>
      </c>
      <c r="E9" s="26" t="n">
        <v>0.849</v>
      </c>
      <c r="F9" s="26" t="n">
        <v>0.87</v>
      </c>
      <c r="G9" s="10" t="n">
        <f aca="false">Assumptions!$B$34</f>
        <v>0.8625</v>
      </c>
      <c r="H9" s="10" t="n">
        <f aca="false">Assumptions!$B$46</f>
        <v>0.875</v>
      </c>
      <c r="I9" s="10" t="n">
        <f aca="false">Assumptions!$B$47</f>
        <v>0.88</v>
      </c>
      <c r="J9" s="10" t="n">
        <f aca="false">Assumptions!$B$48</f>
        <v>0.88</v>
      </c>
    </row>
    <row r="10" customFormat="false" ht="15" hidden="false" customHeight="false" outlineLevel="0" collapsed="false">
      <c r="A10" s="22" t="s">
        <v>189</v>
      </c>
      <c r="B10" s="27" t="n">
        <f aca="false">B5*B9</f>
        <v>5.170955</v>
      </c>
      <c r="C10" s="27" t="n">
        <f aca="false">C5*C9</f>
        <v>7.749224</v>
      </c>
      <c r="D10" s="27" t="n">
        <f aca="false">D5*D9</f>
        <v>17.895</v>
      </c>
      <c r="E10" s="27" t="n">
        <f aca="false">E5*E9</f>
        <v>35.196144</v>
      </c>
      <c r="F10" s="27" t="n">
        <f aca="false">F5*F9</f>
        <v>47.17923</v>
      </c>
      <c r="G10" s="27" t="n">
        <f aca="false">G5*G9</f>
        <v>53.04375</v>
      </c>
      <c r="H10" s="27" t="n">
        <f aca="false">H5*H9</f>
        <v>57.05</v>
      </c>
      <c r="I10" s="27" t="n">
        <f aca="false">I5*I9</f>
        <v>60.192</v>
      </c>
      <c r="J10" s="27" t="n">
        <f aca="false">J5*J9</f>
        <v>62.656</v>
      </c>
    </row>
    <row r="11" customFormat="false" ht="15" hidden="false" customHeight="false" outlineLevel="0" collapsed="false">
      <c r="A11" s="22" t="s">
        <v>190</v>
      </c>
      <c r="B11" s="27"/>
      <c r="C11" s="28" t="n">
        <v>1.3</v>
      </c>
      <c r="D11" s="28" t="n">
        <v>1.4</v>
      </c>
      <c r="E11" s="28" t="n">
        <v>1.5</v>
      </c>
      <c r="F11" s="28" t="n">
        <v>2.6</v>
      </c>
      <c r="G11" s="29" t="n">
        <f aca="false">Assumptions!$B$35</f>
        <v>2.06</v>
      </c>
      <c r="H11" s="29" t="n">
        <f aca="false">Assumptions!$B$49</f>
        <v>2.4</v>
      </c>
      <c r="I11" s="29" t="n">
        <f aca="false">Assumptions!$B$50</f>
        <v>2.42</v>
      </c>
      <c r="J11" s="29" t="n">
        <f aca="false">Assumptions!$B$51</f>
        <v>2.42</v>
      </c>
    </row>
    <row r="12" customFormat="false" ht="15" hidden="false" customHeight="false" outlineLevel="0" collapsed="false">
      <c r="A12" s="5" t="s">
        <v>191</v>
      </c>
      <c r="B12" s="27"/>
      <c r="C12" s="28" t="n">
        <v>6.4</v>
      </c>
      <c r="D12" s="28" t="n">
        <v>16.5</v>
      </c>
      <c r="E12" s="28" t="n">
        <v>33.7</v>
      </c>
      <c r="F12" s="28" t="n">
        <v>44.6</v>
      </c>
      <c r="G12" s="27" t="n">
        <f aca="false">G10-G11</f>
        <v>50.98375</v>
      </c>
      <c r="H12" s="27" t="n">
        <f aca="false">H10-H11</f>
        <v>54.65</v>
      </c>
      <c r="I12" s="27" t="n">
        <f aca="false">I10-I11</f>
        <v>57.772</v>
      </c>
      <c r="J12" s="27" t="n">
        <f aca="false">J10-J11</f>
        <v>60.236</v>
      </c>
    </row>
    <row r="13" customFormat="false" ht="15" hidden="false" customHeight="false" outlineLevel="0" collapsed="false">
      <c r="A13" s="22" t="s">
        <v>192</v>
      </c>
      <c r="B13" s="25"/>
      <c r="C13" s="25" t="n">
        <f aca="false">C12/C5</f>
        <v>0.469105035549366</v>
      </c>
      <c r="D13" s="25" t="n">
        <f aca="false">D12/D5</f>
        <v>0.691533948030176</v>
      </c>
      <c r="E13" s="25" t="n">
        <f aca="false">E12/E5</f>
        <v>0.81291007333076</v>
      </c>
      <c r="F13" s="25" t="n">
        <f aca="false">F12/F5</f>
        <v>0.822438178834203</v>
      </c>
      <c r="G13" s="25" t="n">
        <f aca="false">G12/G5</f>
        <v>0.82900406504065</v>
      </c>
      <c r="H13" s="25" t="n">
        <f aca="false">H12/H5</f>
        <v>0.83819018404908</v>
      </c>
      <c r="I13" s="25" t="n">
        <f aca="false">I12/I5</f>
        <v>0.844619883040936</v>
      </c>
      <c r="J13" s="25" t="n">
        <f aca="false">J12/J5</f>
        <v>0.846011235955056</v>
      </c>
    </row>
    <row r="14" customFormat="false" ht="15" hidden="false" customHeight="false" outlineLevel="0" collapsed="false">
      <c r="A14" s="22" t="s">
        <v>193</v>
      </c>
      <c r="B14" s="30"/>
      <c r="C14" s="30"/>
      <c r="D14" s="30"/>
      <c r="E14" s="30"/>
      <c r="F14" s="30"/>
      <c r="G14" s="30" t="n">
        <f aca="false">G17*G16/(1-Assumptions!$B$37)-G12</f>
        <v>0.936368343195262</v>
      </c>
      <c r="H14" s="21" t="n">
        <f aca="false">Assumptions!$B$52</f>
        <v>1</v>
      </c>
      <c r="I14" s="21" t="n">
        <f aca="false">Assumptions!$B$53</f>
        <v>1.1</v>
      </c>
      <c r="J14" s="21" t="n">
        <f aca="false">Assumptions!$B$54</f>
        <v>1.2</v>
      </c>
    </row>
    <row r="15" customFormat="false" ht="15" hidden="false" customHeight="false" outlineLevel="0" collapsed="false">
      <c r="A15" s="5" t="s">
        <v>194</v>
      </c>
      <c r="B15" s="27"/>
      <c r="C15" s="27"/>
      <c r="D15" s="27"/>
      <c r="E15" s="27"/>
      <c r="F15" s="27"/>
      <c r="G15" s="27" t="n">
        <f aca="false">(G12+G14)*(1-Assumptions!$B$37)</f>
        <v>43.8725</v>
      </c>
      <c r="H15" s="27" t="n">
        <f aca="false">(H12+H14)*(1-Assumptions!$B$37)</f>
        <v>47.02425</v>
      </c>
      <c r="I15" s="27" t="n">
        <f aca="false">(I12+I14)*(1-Assumptions!$B$37)</f>
        <v>49.74684</v>
      </c>
      <c r="J15" s="27" t="n">
        <f aca="false">(J12+J14)*(1-Assumptions!$B$37)</f>
        <v>51.91342</v>
      </c>
    </row>
    <row r="16" customFormat="false" ht="15" hidden="false" customHeight="false" outlineLevel="0" collapsed="false">
      <c r="A16" s="22" t="s">
        <v>195</v>
      </c>
      <c r="B16" s="30"/>
      <c r="C16" s="30"/>
      <c r="D16" s="30"/>
      <c r="E16" s="30"/>
      <c r="F16" s="20" t="n">
        <v>1.149</v>
      </c>
      <c r="G16" s="21" t="n">
        <f aca="false">Assumptions!$B$42</f>
        <v>1.15</v>
      </c>
      <c r="H16" s="21" t="n">
        <f aca="false">Assumptions!$B$42</f>
        <v>1.15</v>
      </c>
      <c r="I16" s="21" t="n">
        <f aca="false">Assumptions!$B$42</f>
        <v>1.15</v>
      </c>
      <c r="J16" s="21" t="n">
        <f aca="false">Assumptions!$B$42</f>
        <v>1.15</v>
      </c>
    </row>
    <row r="17" customFormat="false" ht="15" hidden="false" customHeight="false" outlineLevel="0" collapsed="false">
      <c r="A17" s="5" t="s">
        <v>196</v>
      </c>
      <c r="B17" s="31" t="n">
        <v>3.03</v>
      </c>
      <c r="C17" s="31" t="n">
        <v>4.78</v>
      </c>
      <c r="D17" s="31" t="n">
        <v>12.2</v>
      </c>
      <c r="E17" s="31" t="n">
        <v>25.11</v>
      </c>
      <c r="F17" s="31" t="n">
        <v>33.42</v>
      </c>
      <c r="G17" s="8" t="n">
        <f aca="false">Assumptions!$B$36</f>
        <v>38.15</v>
      </c>
      <c r="H17" s="32" t="n">
        <f aca="false">H15/H16</f>
        <v>40.8906521739131</v>
      </c>
      <c r="I17" s="32" t="n">
        <f aca="false">I15/I16</f>
        <v>43.2581217391304</v>
      </c>
      <c r="J17" s="32" t="n">
        <f aca="false">J15/J16</f>
        <v>45.1421043478261</v>
      </c>
    </row>
    <row r="19" customFormat="false" ht="15" hidden="false" customHeight="false" outlineLevel="0" collapsed="false">
      <c r="A19" s="11" t="s">
        <v>197</v>
      </c>
    </row>
    <row r="20" customFormat="false" ht="15" hidden="false" customHeight="false" outlineLevel="0" collapsed="false">
      <c r="A20" s="22" t="s">
        <v>198</v>
      </c>
      <c r="B20" s="33"/>
      <c r="C20" s="34" t="n">
        <v>0.66</v>
      </c>
      <c r="D20" s="34" t="n">
        <v>0.74</v>
      </c>
      <c r="E20" s="34" t="n">
        <v>0.83</v>
      </c>
      <c r="F20" s="34" t="n">
        <v>0.83</v>
      </c>
    </row>
    <row r="21" customFormat="false" ht="15" hidden="false" customHeight="false" outlineLevel="0" collapsed="false">
      <c r="A21" s="22" t="s">
        <v>199</v>
      </c>
      <c r="B21" s="33"/>
      <c r="C21" s="34" t="n">
        <v>0.51</v>
      </c>
      <c r="D21" s="34" t="n">
        <v>0.74</v>
      </c>
      <c r="E21" s="34" t="n">
        <v>0.87</v>
      </c>
      <c r="F21" s="34" t="n">
        <v>0.9</v>
      </c>
    </row>
    <row r="22" customFormat="false" ht="15" hidden="false" customHeight="false" outlineLevel="0" collapsed="false">
      <c r="A22" s="22" t="s">
        <v>200</v>
      </c>
      <c r="B22" s="33"/>
      <c r="C22" s="34" t="n">
        <v>0.54</v>
      </c>
      <c r="D22" s="34" t="n">
        <v>0.79</v>
      </c>
      <c r="E22" s="34" t="n">
        <v>0.87</v>
      </c>
      <c r="F22" s="34" t="n">
        <v>0.9</v>
      </c>
    </row>
    <row r="23" customFormat="false" ht="15" hidden="false" customHeight="false" outlineLevel="0" collapsed="false">
      <c r="A23" s="22" t="s">
        <v>201</v>
      </c>
      <c r="B23" s="33"/>
      <c r="C23" s="34" t="n">
        <v>0.45</v>
      </c>
      <c r="D23" s="34" t="n">
        <v>0.68</v>
      </c>
      <c r="E23" s="34" t="n">
        <v>0.79</v>
      </c>
      <c r="F23" s="34" t="n">
        <v>0.84</v>
      </c>
    </row>
    <row r="25" customFormat="false" ht="15" hidden="false" customHeight="false" outlineLevel="0" collapsed="false">
      <c r="A25" s="11" t="s">
        <v>202</v>
      </c>
    </row>
    <row r="26" customFormat="false" ht="15" hidden="false" customHeight="false" outlineLevel="0" collapsed="false">
      <c r="A26" s="22" t="s">
        <v>203</v>
      </c>
      <c r="B26" s="24"/>
      <c r="C26" s="23" t="n">
        <v>5.3</v>
      </c>
      <c r="D26" s="23" t="n">
        <v>7.7</v>
      </c>
      <c r="E26" s="23" t="n">
        <v>13.8</v>
      </c>
      <c r="F26" s="23" t="n">
        <v>16.283</v>
      </c>
    </row>
    <row r="27" customFormat="false" ht="15" hidden="false" customHeight="false" outlineLevel="0" collapsed="false">
      <c r="A27" s="22" t="s">
        <v>204</v>
      </c>
      <c r="B27" s="24"/>
      <c r="C27" s="23" t="n">
        <v>2.4</v>
      </c>
      <c r="D27" s="23" t="n">
        <v>5.7</v>
      </c>
      <c r="E27" s="23" t="n">
        <v>11.5</v>
      </c>
      <c r="F27" s="23" t="n">
        <v>18.002</v>
      </c>
    </row>
    <row r="28" customFormat="false" ht="15" hidden="false" customHeight="false" outlineLevel="0" collapsed="false">
      <c r="A28" s="22" t="s">
        <v>205</v>
      </c>
      <c r="B28" s="24"/>
      <c r="C28" s="23" t="n">
        <v>4.3</v>
      </c>
      <c r="D28" s="23" t="n">
        <v>7.7</v>
      </c>
      <c r="E28" s="23" t="n">
        <v>11.5</v>
      </c>
      <c r="F28" s="23" t="n">
        <v>13.114</v>
      </c>
    </row>
    <row r="29" customFormat="false" ht="15" hidden="false" customHeight="false" outlineLevel="0" collapsed="false">
      <c r="A29" s="22" t="s">
        <v>206</v>
      </c>
      <c r="B29" s="24"/>
      <c r="C29" s="23" t="n">
        <v>1.7</v>
      </c>
      <c r="D29" s="23" t="n">
        <v>2.7</v>
      </c>
      <c r="E29" s="23" t="n">
        <v>4.6</v>
      </c>
      <c r="F29" s="23" t="n">
        <v>6.824</v>
      </c>
    </row>
    <row r="31" customFormat="false" ht="15" hidden="false" customHeight="false" outlineLevel="0" collapsed="false">
      <c r="A31" s="11" t="s">
        <v>207</v>
      </c>
    </row>
    <row r="32" customFormat="false" ht="15" hidden="false" customHeight="false" outlineLevel="0" collapsed="false">
      <c r="A32" s="0" t="s">
        <v>208</v>
      </c>
      <c r="B32" s="35" t="n">
        <f aca="false">SUM(C5:F5)</f>
        <v>133.188</v>
      </c>
    </row>
    <row r="33" customFormat="false" ht="15" hidden="false" customHeight="false" outlineLevel="0" collapsed="false">
      <c r="A33" s="0" t="s">
        <v>209</v>
      </c>
      <c r="B33" s="36" t="n">
        <f aca="false">F5/B5-1</f>
        <v>3.79266460450729</v>
      </c>
    </row>
    <row r="34" customFormat="false" ht="15" hidden="false" customHeight="false" outlineLevel="0" collapsed="false">
      <c r="A34" s="0" t="s">
        <v>210</v>
      </c>
      <c r="B34" s="37" t="n">
        <f aca="false">(F21-F20)*100</f>
        <v>7.00000000000001</v>
      </c>
    </row>
    <row r="35" customFormat="false" ht="15" hidden="false" customHeight="false" outlineLevel="0" collapsed="false">
      <c r="A35" s="0" t="s">
        <v>211</v>
      </c>
      <c r="B35" s="38" t="n">
        <f aca="false">SUM(G5:J5)</f>
        <v>266.3</v>
      </c>
    </row>
    <row r="36" customFormat="false" ht="15" hidden="false" customHeight="false" outlineLevel="0" collapsed="false">
      <c r="A36" s="0" t="s">
        <v>212</v>
      </c>
      <c r="B36" s="39" t="n">
        <f aca="false">SUM(G17:J17)</f>
        <v>167.44087826087</v>
      </c>
    </row>
    <row r="38" customFormat="false" ht="15" hidden="false" customHeight="false" outlineLevel="0" collapsed="false">
      <c r="A38" s="12" t="s">
        <v>213</v>
      </c>
    </row>
    <row r="39" customFormat="false" ht="15" hidden="false" customHeight="false" outlineLevel="0" collapsed="false">
      <c r="A39" s="12" t="s">
        <v>214</v>
      </c>
    </row>
    <row r="40" customFormat="false" ht="15" hidden="false" customHeight="false" outlineLevel="0" collapsed="false">
      <c r="A40" s="12" t="s">
        <v>215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12"/>
  </cols>
  <sheetData>
    <row r="1" customFormat="false" ht="15" hidden="false" customHeight="false" outlineLevel="0" collapsed="false">
      <c r="A1" s="1" t="s">
        <v>216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217</v>
      </c>
      <c r="C4" s="4" t="s">
        <v>218</v>
      </c>
      <c r="D4" s="4" t="s">
        <v>219</v>
      </c>
      <c r="E4" s="4" t="s">
        <v>220</v>
      </c>
    </row>
    <row r="5" customFormat="false" ht="15" hidden="false" customHeight="false" outlineLevel="0" collapsed="false">
      <c r="A5" s="5" t="s">
        <v>184</v>
      </c>
      <c r="B5" s="29" t="n">
        <f aca="false">Assumptions!$B$23</f>
        <v>37.378</v>
      </c>
      <c r="C5" s="29" t="n">
        <f aca="false">Assumptions!$B$27</f>
        <v>133.188</v>
      </c>
      <c r="D5" s="27" t="n">
        <f aca="false">SUM(Quarterly!G5:J5)</f>
        <v>266.3</v>
      </c>
      <c r="E5" s="27" t="n">
        <f aca="false">D5*(1+Assumptions!$B$55)</f>
        <v>292.93</v>
      </c>
    </row>
    <row r="6" customFormat="false" ht="15" hidden="false" customHeight="false" outlineLevel="0" collapsed="false">
      <c r="A6" s="22" t="s">
        <v>221</v>
      </c>
      <c r="B6" s="25"/>
      <c r="C6" s="25" t="n">
        <f aca="false">C5/B5-1</f>
        <v>2.56327251324308</v>
      </c>
      <c r="D6" s="25" t="n">
        <f aca="false">D5/C5-1</f>
        <v>0.999429378022044</v>
      </c>
      <c r="E6" s="25" t="n">
        <f aca="false">E5/D5-1</f>
        <v>0.1</v>
      </c>
    </row>
    <row r="7" customFormat="false" ht="15" hidden="false" customHeight="false" outlineLevel="0" collapsed="false">
      <c r="A7" s="22" t="s">
        <v>222</v>
      </c>
      <c r="B7" s="24"/>
      <c r="C7" s="40" t="n">
        <f aca="false">Assumptions!$B$62</f>
        <v>10</v>
      </c>
      <c r="D7" s="40" t="n">
        <f aca="false">Assumptions!$B$63</f>
        <v>16</v>
      </c>
      <c r="E7" s="40" t="n">
        <f aca="false">Assumptions!$B$64</f>
        <v>22</v>
      </c>
    </row>
    <row r="8" customFormat="false" ht="15" hidden="false" customHeight="false" outlineLevel="0" collapsed="false">
      <c r="A8" s="22" t="s">
        <v>223</v>
      </c>
      <c r="B8" s="24"/>
      <c r="C8" s="40" t="n">
        <f aca="false">Assumptions!$B$31-C7</f>
        <v>90.7</v>
      </c>
      <c r="D8" s="24" t="n">
        <f aca="false">D5-D7-D9</f>
        <v>178.3</v>
      </c>
      <c r="E8" s="24" t="n">
        <f aca="false">E5-E7-E9</f>
        <v>190.93</v>
      </c>
    </row>
    <row r="9" customFormat="false" ht="15" hidden="false" customHeight="false" outlineLevel="0" collapsed="false">
      <c r="A9" s="22" t="s">
        <v>186</v>
      </c>
      <c r="B9" s="24"/>
      <c r="C9" s="40" t="n">
        <f aca="false">Assumptions!$B$32</f>
        <v>31.7</v>
      </c>
      <c r="D9" s="40" t="n">
        <f aca="false">Assumptions!$B$65</f>
        <v>72</v>
      </c>
      <c r="E9" s="40" t="n">
        <f aca="false">Assumptions!$B$66</f>
        <v>80</v>
      </c>
    </row>
    <row r="10" customFormat="false" ht="15" hidden="false" customHeight="false" outlineLevel="0" collapsed="false">
      <c r="A10" s="22" t="s">
        <v>224</v>
      </c>
      <c r="B10" s="10" t="n">
        <f aca="false">Assumptions!$B$26</f>
        <v>0.409</v>
      </c>
      <c r="C10" s="10" t="n">
        <f aca="false">Assumptions!$B$30</f>
        <v>0.811</v>
      </c>
      <c r="D10" s="25" t="n">
        <f aca="false">SUM(Quarterly!G10:J10)/D5</f>
        <v>0.874734322193015</v>
      </c>
      <c r="E10" s="10" t="n">
        <f aca="false">Assumptions!$B$56</f>
        <v>0.86</v>
      </c>
    </row>
    <row r="11" customFormat="false" ht="15" hidden="false" customHeight="false" outlineLevel="0" collapsed="false">
      <c r="A11" s="22" t="s">
        <v>225</v>
      </c>
      <c r="B11" s="27"/>
      <c r="C11" s="28" t="n">
        <v>6.8</v>
      </c>
      <c r="D11" s="27" t="n">
        <f aca="false">SUM(Quarterly!G11:J11)</f>
        <v>9.3</v>
      </c>
      <c r="E11" s="29" t="n">
        <f aca="false">Assumptions!$B$57</f>
        <v>11</v>
      </c>
    </row>
    <row r="12" customFormat="false" ht="15" hidden="false" customHeight="false" outlineLevel="0" collapsed="false">
      <c r="A12" s="5" t="s">
        <v>226</v>
      </c>
      <c r="B12" s="27"/>
      <c r="C12" s="28" t="n">
        <v>101.2</v>
      </c>
      <c r="D12" s="27" t="n">
        <f aca="false">D5*D10-D11</f>
        <v>223.64175</v>
      </c>
      <c r="E12" s="27" t="n">
        <f aca="false">E5*E10-E11</f>
        <v>240.9198</v>
      </c>
    </row>
    <row r="13" customFormat="false" ht="15" hidden="false" customHeight="false" outlineLevel="0" collapsed="false">
      <c r="A13" s="22" t="s">
        <v>227</v>
      </c>
      <c r="B13" s="27"/>
      <c r="C13" s="27"/>
      <c r="D13" s="27" t="n">
        <f aca="false">SUM(Quarterly!G14:J14)</f>
        <v>4.23636834319526</v>
      </c>
      <c r="E13" s="29" t="n">
        <f aca="false">Assumptions!$B$58</f>
        <v>4</v>
      </c>
    </row>
    <row r="14" customFormat="false" ht="15" hidden="false" customHeight="false" outlineLevel="0" collapsed="false">
      <c r="A14" s="5" t="s">
        <v>228</v>
      </c>
      <c r="B14" s="29" t="n">
        <f aca="false">Assumptions!$B$24</f>
        <v>9.47</v>
      </c>
      <c r="C14" s="29" t="n">
        <f aca="false">Assumptions!$B$28</f>
        <v>86.758</v>
      </c>
      <c r="D14" s="27" t="n">
        <f aca="false">SUM(Quarterly!G15:J15)</f>
        <v>192.55701</v>
      </c>
      <c r="E14" s="27" t="n">
        <f aca="false">(E12+E13)*(1-Assumptions!$B$37)</f>
        <v>206.957231</v>
      </c>
    </row>
    <row r="15" customFormat="false" ht="15" hidden="false" customHeight="false" outlineLevel="0" collapsed="false">
      <c r="A15" s="22" t="s">
        <v>229</v>
      </c>
      <c r="B15" s="25" t="n">
        <f aca="false">B14/B5</f>
        <v>0.253357590026219</v>
      </c>
      <c r="C15" s="25" t="n">
        <f aca="false">C14/C5</f>
        <v>0.651395020572424</v>
      </c>
      <c r="D15" s="25" t="n">
        <f aca="false">D14/D5</f>
        <v>0.72308302666166</v>
      </c>
      <c r="E15" s="25" t="n">
        <f aca="false">E14/E5</f>
        <v>0.706507462533711</v>
      </c>
    </row>
    <row r="16" customFormat="false" ht="15" hidden="false" customHeight="false" outlineLevel="0" collapsed="false">
      <c r="A16" s="5" t="s">
        <v>230</v>
      </c>
      <c r="B16" s="8" t="n">
        <f aca="false">Assumptions!$B$25</f>
        <v>8.29</v>
      </c>
      <c r="C16" s="8" t="n">
        <f aca="false">Assumptions!$B$29</f>
        <v>75.52</v>
      </c>
      <c r="D16" s="32" t="n">
        <f aca="false">SUM(Quarterly!G17:J17)</f>
        <v>167.44087826087</v>
      </c>
      <c r="E16" s="32" t="n">
        <f aca="false">E14/Assumptions!$B$42</f>
        <v>179.962809565217</v>
      </c>
    </row>
    <row r="17" customFormat="false" ht="15" hidden="false" customHeight="false" outlineLevel="0" collapsed="false">
      <c r="A17" s="22" t="s">
        <v>231</v>
      </c>
      <c r="B17" s="32"/>
      <c r="C17" s="32"/>
      <c r="D17" s="8" t="n">
        <f aca="false">Assumptions!$B$17</f>
        <v>176.15</v>
      </c>
      <c r="E17" s="8" t="n">
        <f aca="false">Assumptions!$B$18</f>
        <v>206.33</v>
      </c>
    </row>
    <row r="18" customFormat="false" ht="15" hidden="false" customHeight="false" outlineLevel="0" collapsed="false">
      <c r="A18" s="22" t="s">
        <v>232</v>
      </c>
      <c r="B18" s="25"/>
      <c r="C18" s="25"/>
      <c r="D18" s="25" t="n">
        <f aca="false">D16/D17-1</f>
        <v>-0.049441508595688</v>
      </c>
      <c r="E18" s="25" t="n">
        <f aca="false">E16/E17-1</f>
        <v>-0.127791355763983</v>
      </c>
    </row>
    <row r="19" customFormat="false" ht="15" hidden="false" customHeight="false" outlineLevel="0" collapsed="false">
      <c r="A19" s="22" t="s">
        <v>233</v>
      </c>
      <c r="B19" s="25"/>
      <c r="C19" s="25"/>
      <c r="D19" s="25" t="n">
        <f aca="false">D5/Assumptions!$B$19-1</f>
        <v>-0.0316715755790697</v>
      </c>
      <c r="E19" s="25" t="n">
        <f aca="false">E5/Assumptions!$B$20-1</f>
        <v>-0.0689994914823288</v>
      </c>
    </row>
    <row r="20" customFormat="false" ht="15" hidden="false" customHeight="false" outlineLevel="0" collapsed="false">
      <c r="A20" s="22" t="s">
        <v>234</v>
      </c>
      <c r="B20" s="41" t="n">
        <f aca="false">Assumptions!$B$7/B16</f>
        <v>126.123039806996</v>
      </c>
      <c r="C20" s="41" t="n">
        <f aca="false">Assumptions!$B$7/C16</f>
        <v>13.8448093220339</v>
      </c>
      <c r="D20" s="41" t="n">
        <f aca="false">Assumptions!$B$7/D16</f>
        <v>6.24435329568111</v>
      </c>
      <c r="E20" s="41" t="n">
        <f aca="false">Assumptions!$B$7/E16</f>
        <v>5.80986706378962</v>
      </c>
    </row>
    <row r="21" customFormat="false" ht="15" hidden="false" customHeight="false" outlineLevel="0" collapsed="false">
      <c r="A21" s="22" t="s">
        <v>235</v>
      </c>
      <c r="B21" s="42"/>
      <c r="C21" s="42"/>
      <c r="D21" s="41" t="n">
        <f aca="false">Assumptions!$B$7/D17</f>
        <v>5.93562304853818</v>
      </c>
      <c r="E21" s="41" t="n">
        <f aca="false">Assumptions!$B$7/E17</f>
        <v>5.06741627489943</v>
      </c>
    </row>
    <row r="23" customFormat="false" ht="15" hidden="false" customHeight="false" outlineLevel="0" collapsed="false">
      <c r="A23" s="22" t="s">
        <v>236</v>
      </c>
      <c r="B23" s="27"/>
      <c r="C23" s="28" t="n">
        <v>62.308</v>
      </c>
      <c r="D23" s="27" t="n">
        <f aca="false">D14+Assumptions!$B$59-Assumptions!$B$60-Assumptions!$B$61</f>
        <v>145.55701</v>
      </c>
      <c r="E23" s="27"/>
    </row>
    <row r="24" customFormat="false" ht="15" hidden="false" customHeight="false" outlineLevel="0" collapsed="false">
      <c r="A24" s="22" t="s">
        <v>237</v>
      </c>
      <c r="B24" s="27"/>
      <c r="C24" s="27"/>
      <c r="D24" s="29" t="n">
        <f aca="false">Assumptions!$B$14-Assumptions!$B$15-Assumptions!$B$16</f>
        <v>55.574</v>
      </c>
      <c r="E24" s="27"/>
    </row>
    <row r="25" customFormat="false" ht="15" hidden="false" customHeight="false" outlineLevel="0" collapsed="false">
      <c r="A25" s="5" t="s">
        <v>238</v>
      </c>
      <c r="B25" s="27"/>
      <c r="C25" s="27"/>
      <c r="D25" s="27" t="n">
        <f aca="false">D24+D23-Assumptions!$B$40*Assumptions!$B$42</f>
        <v>200.44101</v>
      </c>
      <c r="E25" s="27"/>
    </row>
    <row r="26" customFormat="false" ht="15" hidden="false" customHeight="false" outlineLevel="0" collapsed="false">
      <c r="A26" s="5" t="s">
        <v>239</v>
      </c>
      <c r="B26" s="32"/>
      <c r="C26" s="32"/>
      <c r="D26" s="32" t="n">
        <f aca="false">D25/Assumptions!$B$42</f>
        <v>174.296530434783</v>
      </c>
      <c r="E26" s="32"/>
    </row>
    <row r="28" customFormat="false" ht="15" hidden="false" customHeight="false" outlineLevel="0" collapsed="false">
      <c r="A28" s="12" t="s">
        <v>240</v>
      </c>
    </row>
    <row r="29" customFormat="false" ht="15" hidden="false" customHeight="false" outlineLevel="0" collapsed="false">
      <c r="A29" s="12" t="s">
        <v>241</v>
      </c>
    </row>
    <row r="30" customFormat="false" ht="15" hidden="false" customHeight="false" outlineLevel="0" collapsed="false">
      <c r="A30" s="12" t="s">
        <v>242</v>
      </c>
    </row>
    <row r="31" customFormat="false" ht="15" hidden="false" customHeight="false" outlineLevel="0" collapsed="false">
      <c r="A31" s="12" t="s">
        <v>243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2"/>
  </cols>
  <sheetData>
    <row r="1" customFormat="false" ht="15" hidden="false" customHeight="false" outlineLevel="0" collapsed="false">
      <c r="A1" s="1" t="s">
        <v>244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245</v>
      </c>
      <c r="B4" s="4" t="s">
        <v>246</v>
      </c>
      <c r="C4" s="4" t="s">
        <v>247</v>
      </c>
      <c r="D4" s="4" t="s">
        <v>229</v>
      </c>
    </row>
    <row r="5" customFormat="false" ht="15" hidden="false" customHeight="false" outlineLevel="0" collapsed="false">
      <c r="A5" s="0" t="s">
        <v>248</v>
      </c>
      <c r="B5" s="20" t="n">
        <v>12.399</v>
      </c>
      <c r="C5" s="20" t="n">
        <v>-0.276</v>
      </c>
      <c r="D5" s="25" t="n">
        <f aca="false">C5/B5</f>
        <v>-0.0222598596661021</v>
      </c>
    </row>
    <row r="6" customFormat="false" ht="15" hidden="false" customHeight="false" outlineLevel="0" collapsed="false">
      <c r="A6" s="0" t="s">
        <v>249</v>
      </c>
      <c r="B6" s="20" t="n">
        <v>20.322</v>
      </c>
      <c r="C6" s="20" t="n">
        <v>5.089</v>
      </c>
      <c r="D6" s="25" t="n">
        <f aca="false">C6/B6</f>
        <v>0.250418265918709</v>
      </c>
    </row>
    <row r="7" customFormat="false" ht="15" hidden="false" customHeight="false" outlineLevel="0" collapsed="false">
      <c r="A7" s="0" t="s">
        <v>250</v>
      </c>
      <c r="B7" s="20" t="n">
        <v>30.391</v>
      </c>
      <c r="C7" s="20" t="n">
        <v>14.135</v>
      </c>
      <c r="D7" s="25" t="n">
        <f aca="false">C7/B7</f>
        <v>0.465104800763384</v>
      </c>
    </row>
    <row r="8" customFormat="false" ht="15" hidden="false" customHeight="false" outlineLevel="0" collapsed="false">
      <c r="A8" s="0" t="s">
        <v>251</v>
      </c>
      <c r="B8" s="20" t="n">
        <v>23.406</v>
      </c>
      <c r="C8" s="20" t="n">
        <v>6.313</v>
      </c>
      <c r="D8" s="25" t="n">
        <f aca="false">C8/B8</f>
        <v>0.269717166538494</v>
      </c>
    </row>
    <row r="9" customFormat="false" ht="15" hidden="false" customHeight="false" outlineLevel="0" collapsed="false">
      <c r="A9" s="0" t="s">
        <v>252</v>
      </c>
      <c r="B9" s="20" t="n">
        <v>21.435</v>
      </c>
      <c r="C9" s="20" t="n">
        <v>2.687</v>
      </c>
      <c r="D9" s="25" t="n">
        <f aca="false">C9/B9</f>
        <v>0.125355726615349</v>
      </c>
    </row>
    <row r="10" customFormat="false" ht="15" hidden="false" customHeight="false" outlineLevel="0" collapsed="false">
      <c r="A10" s="0" t="s">
        <v>253</v>
      </c>
      <c r="B10" s="20" t="n">
        <v>27.705</v>
      </c>
      <c r="C10" s="20" t="n">
        <v>5.861</v>
      </c>
      <c r="D10" s="25" t="n">
        <f aca="false">C10/B10</f>
        <v>0.211550261685616</v>
      </c>
    </row>
    <row r="11" customFormat="false" ht="15" hidden="false" customHeight="false" outlineLevel="0" collapsed="false">
      <c r="A11" s="0" t="s">
        <v>254</v>
      </c>
      <c r="B11" s="20" t="n">
        <v>30.758</v>
      </c>
      <c r="C11" s="20" t="n">
        <v>8.687</v>
      </c>
      <c r="D11" s="25" t="n">
        <f aca="false">C11/B11</f>
        <v>0.282430587164315</v>
      </c>
    </row>
    <row r="12" customFormat="false" ht="15" hidden="false" customHeight="false" outlineLevel="0" collapsed="false">
      <c r="A12" s="0" t="s">
        <v>255</v>
      </c>
      <c r="B12" s="20" t="n">
        <v>15.54</v>
      </c>
      <c r="C12" s="20" t="n">
        <v>-5.833</v>
      </c>
      <c r="D12" s="25" t="n">
        <f aca="false">C12/B12</f>
        <v>-0.375353925353925</v>
      </c>
    </row>
    <row r="13" customFormat="false" ht="15" hidden="false" customHeight="false" outlineLevel="0" collapsed="false">
      <c r="A13" s="0" t="s">
        <v>256</v>
      </c>
      <c r="B13" s="20" t="n">
        <v>25.111</v>
      </c>
      <c r="C13" s="20" t="n">
        <v>0.778</v>
      </c>
      <c r="D13" s="25" t="n">
        <f aca="false">C13/B13</f>
        <v>0.0309824379753893</v>
      </c>
    </row>
    <row r="14" customFormat="false" ht="15" hidden="false" customHeight="false" outlineLevel="0" collapsed="false">
      <c r="A14" s="0" t="s">
        <v>257</v>
      </c>
      <c r="B14" s="20" t="n">
        <v>37.378</v>
      </c>
      <c r="C14" s="20" t="n">
        <v>8.539</v>
      </c>
      <c r="D14" s="25" t="n">
        <f aca="false">C14/B14</f>
        <v>0.228449890309808</v>
      </c>
    </row>
    <row r="15" customFormat="false" ht="15" hidden="false" customHeight="false" outlineLevel="0" collapsed="false">
      <c r="A15" s="0" t="s">
        <v>258</v>
      </c>
      <c r="B15" s="20" t="n">
        <v>133.188</v>
      </c>
      <c r="C15" s="20" t="n">
        <v>84.969</v>
      </c>
      <c r="D15" s="25" t="n">
        <f aca="false">C15/B15</f>
        <v>0.637962879538697</v>
      </c>
    </row>
    <row r="17" customFormat="false" ht="15" hidden="false" customHeight="false" outlineLevel="0" collapsed="false">
      <c r="A17" s="5" t="s">
        <v>259</v>
      </c>
      <c r="B17" s="38" t="n">
        <f aca="false">SUM(B5:B14)</f>
        <v>244.445</v>
      </c>
      <c r="C17" s="38" t="n">
        <f aca="false">SUM(C5:C14)</f>
        <v>45.98</v>
      </c>
      <c r="D17" s="36" t="n">
        <f aca="false">C17/B17</f>
        <v>0.188099572500972</v>
      </c>
    </row>
    <row r="18" customFormat="false" ht="15" hidden="false" customHeight="false" outlineLevel="0" collapsed="false">
      <c r="A18" s="0" t="s">
        <v>260</v>
      </c>
      <c r="D18" s="36" t="n">
        <f aca="false">D7</f>
        <v>0.465104800763384</v>
      </c>
    </row>
    <row r="20" customFormat="false" ht="15" hidden="false" customHeight="false" outlineLevel="0" collapsed="false">
      <c r="A20" s="3" t="s">
        <v>261</v>
      </c>
      <c r="B20" s="4" t="s">
        <v>3</v>
      </c>
      <c r="C20" s="4"/>
      <c r="D20" s="4"/>
    </row>
    <row r="21" customFormat="false" ht="15" hidden="false" customHeight="false" outlineLevel="0" collapsed="false">
      <c r="A21" s="0" t="s">
        <v>90</v>
      </c>
      <c r="B21" s="38" t="n">
        <f aca="false">Assumptions!$B$27</f>
        <v>133.188</v>
      </c>
    </row>
    <row r="22" customFormat="false" ht="15" hidden="false" customHeight="false" outlineLevel="0" collapsed="false">
      <c r="A22" s="0" t="s">
        <v>262</v>
      </c>
      <c r="B22" s="43" t="n">
        <f aca="false">Assumptions!$B$68^Assumptions!$B$69</f>
        <v>2.0736</v>
      </c>
    </row>
    <row r="23" customFormat="false" ht="15" hidden="false" customHeight="false" outlineLevel="0" collapsed="false">
      <c r="A23" s="0" t="s">
        <v>263</v>
      </c>
      <c r="B23" s="44" t="n">
        <f aca="false">Assumptions!$B$70</f>
        <v>0.55</v>
      </c>
    </row>
    <row r="24" customFormat="false" ht="15" hidden="false" customHeight="false" outlineLevel="0" collapsed="false">
      <c r="A24" s="0" t="s">
        <v>264</v>
      </c>
      <c r="B24" s="37" t="n">
        <f aca="false">B21*B22*B23</f>
        <v>151.89825024</v>
      </c>
    </row>
    <row r="25" customFormat="false" ht="15" hidden="false" customHeight="false" outlineLevel="0" collapsed="false">
      <c r="A25" s="0" t="s">
        <v>265</v>
      </c>
      <c r="B25" s="44" t="n">
        <f aca="false">Assumptions!$B$71</f>
        <v>0.3</v>
      </c>
    </row>
    <row r="26" customFormat="false" ht="15" hidden="false" customHeight="false" outlineLevel="0" collapsed="false">
      <c r="A26" s="0" t="s">
        <v>266</v>
      </c>
      <c r="B26" s="38" t="n">
        <f aca="false">B24*B25</f>
        <v>45.569475072</v>
      </c>
    </row>
    <row r="27" customFormat="false" ht="15" hidden="false" customHeight="false" outlineLevel="0" collapsed="false">
      <c r="A27" s="5" t="s">
        <v>267</v>
      </c>
      <c r="B27" s="45" t="n">
        <f aca="false">B26/Assumptions!$B$42</f>
        <v>39.6256304973913</v>
      </c>
    </row>
    <row r="29" customFormat="false" ht="15" hidden="false" customHeight="false" outlineLevel="0" collapsed="false">
      <c r="A29" s="12" t="s">
        <v>268</v>
      </c>
    </row>
    <row r="30" customFormat="false" ht="15" hidden="false" customHeight="false" outlineLevel="0" collapsed="false">
      <c r="A30" s="12" t="s">
        <v>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16" min="2" style="0" width="11"/>
  </cols>
  <sheetData>
    <row r="1" customFormat="false" ht="15" hidden="false" customHeight="false" outlineLevel="0" collapsed="false">
      <c r="A1" s="1" t="s">
        <v>270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271</v>
      </c>
      <c r="B4" s="4" t="s">
        <v>272</v>
      </c>
      <c r="C4" s="4" t="s">
        <v>273</v>
      </c>
      <c r="D4" s="4" t="s">
        <v>274</v>
      </c>
      <c r="E4" s="4" t="s">
        <v>275</v>
      </c>
      <c r="F4" s="4" t="s">
        <v>276</v>
      </c>
      <c r="G4" s="4" t="s">
        <v>277</v>
      </c>
      <c r="H4" s="4" t="s">
        <v>278</v>
      </c>
      <c r="I4" s="4" t="s">
        <v>279</v>
      </c>
      <c r="J4" s="4" t="s">
        <v>280</v>
      </c>
      <c r="K4" s="4" t="s">
        <v>281</v>
      </c>
      <c r="L4" s="4" t="s">
        <v>282</v>
      </c>
      <c r="M4" s="4" t="s">
        <v>283</v>
      </c>
      <c r="N4" s="4" t="s">
        <v>284</v>
      </c>
      <c r="O4" s="4" t="s">
        <v>285</v>
      </c>
      <c r="P4" s="4" t="s">
        <v>286</v>
      </c>
    </row>
    <row r="5" customFormat="false" ht="15" hidden="false" customHeight="false" outlineLevel="0" collapsed="false">
      <c r="A5" s="5" t="s">
        <v>287</v>
      </c>
      <c r="B5" s="46" t="n">
        <v>0.4</v>
      </c>
      <c r="C5" s="46" t="n">
        <v>0.19</v>
      </c>
      <c r="D5" s="19" t="n">
        <v>10</v>
      </c>
      <c r="E5" s="46" t="n">
        <v>-0.25</v>
      </c>
      <c r="F5" s="47" t="n">
        <v>0.75</v>
      </c>
      <c r="G5" s="46" t="n">
        <v>1</v>
      </c>
      <c r="H5" s="46" t="n">
        <v>0</v>
      </c>
      <c r="I5" s="46" t="n">
        <v>0</v>
      </c>
      <c r="J5" s="39" t="n">
        <f aca="false">Normal!$B$21*Normal!$B$22*B5*C5/Assumptions!$B$42</f>
        <v>18.2518055624348</v>
      </c>
      <c r="K5" s="39" t="n">
        <f aca="false">(Financials!$D$5*(1+E5)*F5-Assumptions!$B$57+Assumptions!$B$58)*(1-Assumptions!$B$37)/Assumptions!$B$42</f>
        <v>104.922364130435</v>
      </c>
      <c r="L5" s="39" t="n">
        <f aca="false">Financials!$D$26</f>
        <v>174.296530434783</v>
      </c>
      <c r="M5" s="39" t="n">
        <f aca="false">(K5-J5)*(G5/(1+Assumptions!$B$73)+H5/(1+Assumptions!$B$73)^2+I5/(1+Assumptions!$B$73)^3)</f>
        <v>78.79141688</v>
      </c>
      <c r="N5" s="39" t="n">
        <f aca="false">J5*D5</f>
        <v>182.518055624348</v>
      </c>
      <c r="O5" s="39" t="n">
        <f aca="false">L5+M5+N5</f>
        <v>435.60600293913</v>
      </c>
      <c r="P5" s="44" t="n">
        <f aca="false">O5/Assumptions!$B$7-1</f>
        <v>-0.583375413233932</v>
      </c>
    </row>
    <row r="6" customFormat="false" ht="15" hidden="false" customHeight="false" outlineLevel="0" collapsed="false">
      <c r="A6" s="5" t="s">
        <v>288</v>
      </c>
      <c r="B6" s="48" t="n">
        <f aca="false">Assumptions!$B$70</f>
        <v>0.55</v>
      </c>
      <c r="C6" s="48" t="n">
        <f aca="false">Assumptions!$B$71</f>
        <v>0.3</v>
      </c>
      <c r="D6" s="49" t="n">
        <f aca="false">Assumptions!$B$72</f>
        <v>12</v>
      </c>
      <c r="E6" s="48" t="n">
        <f aca="false">Assumptions!$B$55</f>
        <v>0.1</v>
      </c>
      <c r="F6" s="50" t="n">
        <f aca="false">Assumptions!$B$56</f>
        <v>0.86</v>
      </c>
      <c r="G6" s="48" t="n">
        <f aca="false">Assumptions!$B$74</f>
        <v>1</v>
      </c>
      <c r="H6" s="48" t="n">
        <f aca="false">Assumptions!$B$75</f>
        <v>0.5</v>
      </c>
      <c r="I6" s="48" t="n">
        <f aca="false">Assumptions!$B$76</f>
        <v>0</v>
      </c>
      <c r="J6" s="39" t="n">
        <f aca="false">Normal!$B$21*Normal!$B$22*B6*C6/Assumptions!$B$42</f>
        <v>39.6256304973913</v>
      </c>
      <c r="K6" s="39" t="n">
        <f aca="false">(Financials!$D$5*(1+E6)*F6-Assumptions!$B$57+Assumptions!$B$58)*(1-Assumptions!$B$37)/Assumptions!$B$42</f>
        <v>179.962809565217</v>
      </c>
      <c r="L6" s="39" t="n">
        <f aca="false">Financials!$D$26</f>
        <v>174.296530434783</v>
      </c>
      <c r="M6" s="39" t="n">
        <f aca="false">(K6-J6)*(G6/(1+Assumptions!$B$73)+H6/(1+Assumptions!$B$73)^2+I6/(1+Assumptions!$B$73)^3)</f>
        <v>185.569823560762</v>
      </c>
      <c r="N6" s="39" t="n">
        <f aca="false">J6*D6</f>
        <v>475.507565968696</v>
      </c>
      <c r="O6" s="39" t="n">
        <f aca="false">L6+M6+N6</f>
        <v>835.37391996424</v>
      </c>
      <c r="P6" s="44" t="n">
        <f aca="false">O6/Assumptions!$B$7-1</f>
        <v>-0.201027277282758</v>
      </c>
    </row>
    <row r="7" customFormat="false" ht="15" hidden="false" customHeight="false" outlineLevel="0" collapsed="false">
      <c r="A7" s="5" t="s">
        <v>289</v>
      </c>
      <c r="B7" s="46" t="n">
        <v>0.7</v>
      </c>
      <c r="C7" s="46" t="n">
        <v>0.4</v>
      </c>
      <c r="D7" s="19" t="n">
        <v>14</v>
      </c>
      <c r="E7" s="46" t="n">
        <v>0.22</v>
      </c>
      <c r="F7" s="47" t="n">
        <v>0.885</v>
      </c>
      <c r="G7" s="46" t="n">
        <v>1</v>
      </c>
      <c r="H7" s="46" t="n">
        <v>1</v>
      </c>
      <c r="I7" s="46" t="n">
        <v>0.5</v>
      </c>
      <c r="J7" s="39" t="n">
        <f aca="false">Normal!$B$21*Normal!$B$22*B7*C7/Assumptions!$B$42</f>
        <v>67.2434941773913</v>
      </c>
      <c r="K7" s="39" t="n">
        <f aca="false">(Financials!$D$5*(1+E7)*F7-Assumptions!$B$57+Assumptions!$B$58)*(1-Assumptions!$B$37)/Assumptions!$B$42</f>
        <v>206.124237347826</v>
      </c>
      <c r="L7" s="39" t="n">
        <f aca="false">Financials!$D$26</f>
        <v>174.296530434783</v>
      </c>
      <c r="M7" s="39" t="n">
        <f aca="false">(K7-J7)*(G7/(1+Assumptions!$B$73)+H7/(1+Assumptions!$B$73)^2+I7/(1+Assumptions!$B$73)^3)</f>
        <v>293.204273710685</v>
      </c>
      <c r="N7" s="39" t="n">
        <f aca="false">J7*D7</f>
        <v>941.408918483478</v>
      </c>
      <c r="O7" s="39" t="n">
        <f aca="false">L7+M7+N7</f>
        <v>1408.90972262895</v>
      </c>
      <c r="P7" s="44" t="n">
        <f aca="false">O7/Assumptions!$B$7-1</f>
        <v>0.347516854727558</v>
      </c>
    </row>
    <row r="9" customFormat="false" ht="15" hidden="false" customHeight="false" outlineLevel="0" collapsed="false">
      <c r="B9" s="5" t="s">
        <v>287</v>
      </c>
      <c r="C9" s="5" t="s">
        <v>288</v>
      </c>
      <c r="D9" s="5" t="s">
        <v>289</v>
      </c>
    </row>
    <row r="10" customFormat="false" ht="15" hidden="false" customHeight="false" outlineLevel="0" collapsed="false">
      <c r="A10" s="5" t="s">
        <v>290</v>
      </c>
      <c r="B10" s="46" t="n">
        <v>0.25</v>
      </c>
      <c r="C10" s="46" t="n">
        <v>0.5</v>
      </c>
      <c r="D10" s="46" t="n">
        <v>0.25</v>
      </c>
      <c r="E10" s="44" t="n">
        <f aca="false">SUM(B10:D10)</f>
        <v>1</v>
      </c>
      <c r="F10" s="12" t="s">
        <v>291</v>
      </c>
    </row>
    <row r="12" customFormat="false" ht="15" hidden="false" customHeight="false" outlineLevel="0" collapsed="false">
      <c r="A12" s="5" t="s">
        <v>17</v>
      </c>
      <c r="O12" s="51" t="n">
        <f aca="false">B10*O5+C10*O6+D10*O7</f>
        <v>878.815891374139</v>
      </c>
      <c r="P12" s="36" t="n">
        <f aca="false">O12/Assumptions!$B$7-1</f>
        <v>-0.159478278267972</v>
      </c>
    </row>
    <row r="14" customFormat="false" ht="15" hidden="false" customHeight="false" outlineLevel="0" collapsed="false">
      <c r="A14" s="12" t="s">
        <v>292</v>
      </c>
    </row>
    <row r="15" customFormat="false" ht="15" hidden="false" customHeight="false" outlineLevel="0" collapsed="false">
      <c r="A15" s="12" t="s">
        <v>293</v>
      </c>
    </row>
    <row r="16" customFormat="false" ht="15" hidden="false" customHeight="false" outlineLevel="0" collapsed="false">
      <c r="A16" s="12" t="s">
        <v>294</v>
      </c>
    </row>
    <row r="17" customFormat="false" ht="15" hidden="false" customHeight="false" outlineLevel="0" collapsed="false">
      <c r="A17" s="12" t="s">
        <v>295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296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297</v>
      </c>
      <c r="B4" s="4" t="s">
        <v>3</v>
      </c>
      <c r="C4" s="4" t="s">
        <v>298</v>
      </c>
    </row>
    <row r="5" customFormat="false" ht="15" hidden="false" customHeight="false" outlineLevel="0" collapsed="false">
      <c r="A5" s="0" t="s">
        <v>299</v>
      </c>
      <c r="B5" s="39" t="n">
        <f aca="false">Financials!D26</f>
        <v>174.296530434783</v>
      </c>
      <c r="C5" s="7" t="s">
        <v>300</v>
      </c>
    </row>
    <row r="6" customFormat="false" ht="15" hidden="false" customHeight="false" outlineLevel="0" collapsed="false">
      <c r="A6" s="0" t="s">
        <v>301</v>
      </c>
      <c r="B6" s="39" t="n">
        <f aca="false">Scenarios!M6</f>
        <v>185.569823560762</v>
      </c>
      <c r="C6" s="7" t="s">
        <v>302</v>
      </c>
    </row>
    <row r="7" customFormat="false" ht="15" hidden="false" customHeight="false" outlineLevel="0" collapsed="false">
      <c r="A7" s="0" t="s">
        <v>303</v>
      </c>
      <c r="B7" s="39" t="n">
        <f aca="false">Scenarios!N6</f>
        <v>475.507565968696</v>
      </c>
      <c r="C7" s="7" t="s">
        <v>302</v>
      </c>
    </row>
    <row r="8" customFormat="false" ht="15" hidden="false" customHeight="false" outlineLevel="0" collapsed="false">
      <c r="A8" s="5" t="s">
        <v>304</v>
      </c>
      <c r="B8" s="51" t="n">
        <f aca="false">B5+B6+B7</f>
        <v>835.37391996424</v>
      </c>
      <c r="C8" s="7"/>
    </row>
    <row r="9" customFormat="false" ht="15" hidden="false" customHeight="false" outlineLevel="0" collapsed="false">
      <c r="A9" s="0" t="s">
        <v>12</v>
      </c>
      <c r="B9" s="39" t="n">
        <f aca="false">Assumptions!$B$7</f>
        <v>1045.56</v>
      </c>
      <c r="C9" s="7" t="s">
        <v>13</v>
      </c>
    </row>
    <row r="10" customFormat="false" ht="15" hidden="false" customHeight="false" outlineLevel="0" collapsed="false">
      <c r="A10" s="0" t="s">
        <v>16</v>
      </c>
      <c r="B10" s="36" t="n">
        <f aca="false">B8/B9-1</f>
        <v>-0.201027277282758</v>
      </c>
      <c r="C10" s="7"/>
    </row>
    <row r="11" customFormat="false" ht="15" hidden="false" customHeight="false" outlineLevel="0" collapsed="false">
      <c r="A11" s="0" t="s">
        <v>17</v>
      </c>
      <c r="B11" s="39" t="n">
        <f aca="false">Scenarios!O12</f>
        <v>878.815891374139</v>
      </c>
      <c r="C11" s="7" t="s">
        <v>305</v>
      </c>
    </row>
    <row r="12" customFormat="false" ht="23.85" hidden="false" customHeight="false" outlineLevel="0" collapsed="false">
      <c r="A12" s="0" t="s">
        <v>306</v>
      </c>
      <c r="B12" s="0" t="str">
        <f aca="false">IF(B10&gt;=0.15,"LONG",IF(B10&lt;=-0.25,"SHORT","NO CALL"))</f>
        <v>NO CALL</v>
      </c>
      <c r="C12" s="7" t="s">
        <v>307</v>
      </c>
    </row>
    <row r="13" customFormat="false" ht="15" hidden="false" customHeight="false" outlineLevel="0" collapsed="false">
      <c r="A13" s="5" t="s">
        <v>308</v>
      </c>
      <c r="B13" s="52" t="s">
        <v>309</v>
      </c>
      <c r="C13" s="7" t="s">
        <v>6</v>
      </c>
    </row>
    <row r="14" customFormat="false" ht="15" hidden="false" customHeight="false" outlineLevel="0" collapsed="false">
      <c r="A14" s="0" t="s">
        <v>7</v>
      </c>
      <c r="B14" s="53" t="s">
        <v>310</v>
      </c>
      <c r="C14" s="7"/>
    </row>
    <row r="15" customFormat="false" ht="15" hidden="false" customHeight="false" outlineLevel="0" collapsed="false">
      <c r="A15" s="0" t="s">
        <v>311</v>
      </c>
      <c r="B15" s="37" t="n">
        <f aca="false">Assumptions!$B$7*Assumptions!$B$13</f>
        <v>1181.4828</v>
      </c>
      <c r="C15" s="7" t="s">
        <v>312</v>
      </c>
    </row>
    <row r="16" customFormat="false" ht="15" hidden="false" customHeight="false" outlineLevel="0" collapsed="false">
      <c r="A16" s="0" t="s">
        <v>313</v>
      </c>
      <c r="B16" s="37" t="n">
        <f aca="false">B15-(Assumptions!$B$14-Assumptions!$B$15-Assumptions!$B$16)</f>
        <v>1125.9088</v>
      </c>
      <c r="C16" s="7"/>
    </row>
    <row r="17" customFormat="false" ht="15" hidden="false" customHeight="false" outlineLevel="0" collapsed="false">
      <c r="A17" s="0" t="s">
        <v>314</v>
      </c>
      <c r="B17" s="54" t="n">
        <f aca="false">Financials!C20</f>
        <v>13.8448093220339</v>
      </c>
      <c r="C17" s="7"/>
    </row>
    <row r="18" customFormat="false" ht="15" hidden="false" customHeight="false" outlineLevel="0" collapsed="false">
      <c r="A18" s="0" t="s">
        <v>315</v>
      </c>
      <c r="B18" s="54" t="n">
        <f aca="false">Financials!D20</f>
        <v>6.24435329568111</v>
      </c>
      <c r="C18" s="7"/>
    </row>
    <row r="19" customFormat="false" ht="15" hidden="false" customHeight="false" outlineLevel="0" collapsed="false">
      <c r="A19" s="0" t="s">
        <v>316</v>
      </c>
      <c r="B19" s="54" t="n">
        <f aca="false">Financials!E20</f>
        <v>5.80986706378962</v>
      </c>
      <c r="C19" s="7"/>
    </row>
    <row r="20" customFormat="false" ht="15" hidden="false" customHeight="false" outlineLevel="0" collapsed="false">
      <c r="A20" s="0" t="s">
        <v>317</v>
      </c>
      <c r="B20" s="54" t="n">
        <f aca="false">Financials!D21</f>
        <v>5.93562304853818</v>
      </c>
      <c r="C20" s="7" t="s">
        <v>318</v>
      </c>
    </row>
    <row r="21" customFormat="false" ht="15" hidden="false" customHeight="false" outlineLevel="0" collapsed="false">
      <c r="A21" s="0" t="s">
        <v>319</v>
      </c>
      <c r="B21" s="54" t="n">
        <f aca="false">Financials!E21</f>
        <v>5.06741627489943</v>
      </c>
      <c r="C21" s="7"/>
    </row>
    <row r="22" customFormat="false" ht="15" hidden="false" customHeight="false" outlineLevel="0" collapsed="false">
      <c r="A22" s="0" t="s">
        <v>320</v>
      </c>
      <c r="B22" s="54" t="n">
        <f aca="false">Assumptions!$B$7/Normal!B27</f>
        <v>26.3859523968668</v>
      </c>
      <c r="C22" s="7"/>
    </row>
    <row r="23" customFormat="false" ht="15" hidden="false" customHeight="false" outlineLevel="0" collapsed="false">
      <c r="A23" s="0" t="s">
        <v>321</v>
      </c>
      <c r="B23" s="55" t="n">
        <f aca="false">Assumptions!$B$74/(1+Assumptions!$B$73)+Assumptions!$B$75/(1+Assumptions!$B$73)^2+Assumptions!$B$76/(1+Assumptions!$B$73)^3</f>
        <v>1.32231404958678</v>
      </c>
      <c r="C23" s="7"/>
    </row>
    <row r="24" customFormat="false" ht="15" hidden="false" customHeight="false" outlineLevel="0" collapsed="false">
      <c r="A24" s="0" t="s">
        <v>19</v>
      </c>
      <c r="B24" s="39" t="n">
        <f aca="false">(Assumptions!$B$7-B5-B23*Scenarios!K6)/(Assumptions!$B$72-B23)</f>
        <v>59.3102401601831</v>
      </c>
      <c r="C24" s="7" t="s">
        <v>322</v>
      </c>
    </row>
    <row r="25" customFormat="false" ht="15" hidden="false" customHeight="false" outlineLevel="0" collapsed="false">
      <c r="A25" s="0" t="s">
        <v>323</v>
      </c>
      <c r="B25" s="36" t="n">
        <f aca="false">B24*Assumptions!$B$42/Normal!B24</f>
        <v>0.449029373784382</v>
      </c>
      <c r="C25" s="7" t="s">
        <v>324</v>
      </c>
    </row>
    <row r="26" customFormat="false" ht="15" hidden="false" customHeight="false" outlineLevel="0" collapsed="false">
      <c r="A26" s="0" t="s">
        <v>325</v>
      </c>
      <c r="B26" s="37" t="n">
        <f aca="false">B24*Assumptions!$B$42/Assumptions!$B$71</f>
        <v>227.355920614035</v>
      </c>
      <c r="C26" s="7"/>
    </row>
    <row r="27" customFormat="false" ht="15" hidden="false" customHeight="false" outlineLevel="0" collapsed="false">
      <c r="A27" s="0" t="s">
        <v>326</v>
      </c>
      <c r="B27" s="44" t="n">
        <f aca="false">B24/Assumptions!$B$29</f>
        <v>0.785358052968526</v>
      </c>
      <c r="C27" s="7"/>
    </row>
    <row r="28" customFormat="false" ht="15" hidden="false" customHeight="false" outlineLevel="0" collapsed="false">
      <c r="A28" s="0" t="s">
        <v>327</v>
      </c>
      <c r="B28" s="44" t="n">
        <f aca="false">B24/Financials!E16</f>
        <v>0.329569427724951</v>
      </c>
      <c r="C28" s="7"/>
    </row>
    <row r="29" customFormat="false" ht="15" hidden="false" customHeight="false" outlineLevel="0" collapsed="false">
      <c r="A29" s="0" t="s">
        <v>328</v>
      </c>
      <c r="B29" s="39" t="n">
        <f aca="false">B8/1.15</f>
        <v>726.412104316731</v>
      </c>
      <c r="C29" s="7"/>
    </row>
    <row r="30" customFormat="false" ht="15" hidden="false" customHeight="false" outlineLevel="0" collapsed="false">
      <c r="A30" s="0" t="s">
        <v>329</v>
      </c>
      <c r="B30" s="39" t="n">
        <f aca="false">B8/0.75</f>
        <v>1113.83189328565</v>
      </c>
      <c r="C30" s="7"/>
    </row>
    <row r="31" customFormat="false" ht="15" hidden="false" customHeight="false" outlineLevel="0" collapsed="false">
      <c r="A31" s="0" t="s">
        <v>330</v>
      </c>
      <c r="B31" s="39" t="n">
        <f aca="false">(Assumptions!$B$7*1.15-B5-B23*Scenarios!K6)/(Assumptions!$B$72-B23)</f>
        <v>73.9982540920716</v>
      </c>
      <c r="C31" s="7"/>
    </row>
    <row r="32" customFormat="false" ht="15" hidden="false" customHeight="false" outlineLevel="0" collapsed="false">
      <c r="A32" s="0" t="s">
        <v>331</v>
      </c>
      <c r="B32" s="39" t="n">
        <f aca="false">(Assumptions!$B$7*0.75-B5-B23*Scenarios!K6)/(Assumptions!$B$72-B23)</f>
        <v>34.8302169403688</v>
      </c>
      <c r="C32" s="7"/>
    </row>
    <row r="33" customFormat="false" ht="15" hidden="false" customHeight="false" outlineLevel="0" collapsed="false">
      <c r="A33" s="0" t="s">
        <v>332</v>
      </c>
      <c r="B33" s="54" t="n">
        <f aca="false">Assumptions!$B$11/7.75</f>
        <v>12.5625806451613</v>
      </c>
      <c r="C33" s="7"/>
    </row>
    <row r="34" customFormat="false" ht="15" hidden="false" customHeight="false" outlineLevel="0" collapsed="false">
      <c r="A34" s="0" t="s">
        <v>333</v>
      </c>
      <c r="B34" s="44" t="n">
        <f aca="false">Assumptions!$B$12/Assumptions!$B$11-1</f>
        <v>-0.497945768282662</v>
      </c>
      <c r="C34" s="7"/>
    </row>
    <row r="35" customFormat="false" ht="15" hidden="false" customHeight="false" outlineLevel="0" collapsed="false">
      <c r="A35" s="0" t="s">
        <v>334</v>
      </c>
      <c r="B35" s="36" t="n">
        <f aca="false">Assumptions!$B$7/Assumptions!$B$8-1</f>
        <v>-0.138435676851577</v>
      </c>
      <c r="C35" s="7"/>
    </row>
    <row r="36" customFormat="false" ht="15" hidden="false" customHeight="false" outlineLevel="0" collapsed="false">
      <c r="A36" s="0" t="s">
        <v>335</v>
      </c>
      <c r="B36" s="44" t="n">
        <f aca="false">Assumptions!$B$7/Assumptions!$B$10-1</f>
        <v>2.66336147997617</v>
      </c>
      <c r="C36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336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337</v>
      </c>
      <c r="B4" s="56" t="n">
        <v>10</v>
      </c>
      <c r="C4" s="56" t="n">
        <f aca="false">Assumptions!$B$72</f>
        <v>12</v>
      </c>
      <c r="D4" s="56" t="n">
        <v>14</v>
      </c>
    </row>
    <row r="5" customFormat="false" ht="15" hidden="false" customHeight="false" outlineLevel="0" collapsed="false">
      <c r="A5" s="57" t="n">
        <v>0.22</v>
      </c>
      <c r="B5" s="58" t="n">
        <f aca="false">Valuation!$B$5+Valuation!$B$23*(Scenarios!$K$6-Normal!$B$24*$A5/Assumptions!$B$42)+Normal!$B$24*$A5/Assumptions!$B$42*B$4</f>
        <v>664.426985091197</v>
      </c>
      <c r="C5" s="58" t="n">
        <f aca="false">Valuation!$B$5+Valuation!$B$23*(Scenarios!$K$6-Normal!$B$24*$A5/Assumptions!$B$42)+Normal!$B$24*$A5/Assumptions!$B$42*C$4</f>
        <v>722.544576487371</v>
      </c>
      <c r="D5" s="58" t="n">
        <f aca="false">Valuation!$B$5+Valuation!$B$23*(Scenarios!$K$6-Normal!$B$24*$A5/Assumptions!$B$42)+Normal!$B$24*$A5/Assumptions!$B$42*D$4</f>
        <v>780.662167883544</v>
      </c>
    </row>
    <row r="6" customFormat="false" ht="15" hidden="false" customHeight="false" outlineLevel="0" collapsed="false">
      <c r="A6" s="48" t="n">
        <f aca="false">Assumptions!$B$71</f>
        <v>0.3</v>
      </c>
      <c r="B6" s="58" t="n">
        <f aca="false">Valuation!$B$5+Valuation!$B$23*(Scenarios!$K$6-Normal!$B$24*$A6/Assumptions!$B$42)+Normal!$B$24*$A6/Assumptions!$B$42*B$4</f>
        <v>756.122658969458</v>
      </c>
      <c r="C6" s="59" t="n">
        <f aca="false">Valuation!$B$5+Valuation!$B$23*(Scenarios!$K$6-Normal!$B$24*$A6/Assumptions!$B$42)+Normal!$B$24*$A6/Assumptions!$B$42*C$4</f>
        <v>835.37391996424</v>
      </c>
      <c r="D6" s="58" t="n">
        <f aca="false">Valuation!$B$5+Valuation!$B$23*(Scenarios!$K$6-Normal!$B$24*$A6/Assumptions!$B$42)+Normal!$B$24*$A6/Assumptions!$B$42*D$4</f>
        <v>914.625180959023</v>
      </c>
    </row>
    <row r="7" customFormat="false" ht="15" hidden="false" customHeight="false" outlineLevel="0" collapsed="false">
      <c r="A7" s="57" t="n">
        <v>0.38</v>
      </c>
      <c r="B7" s="58" t="n">
        <f aca="false">Valuation!$B$5+Valuation!$B$23*(Scenarios!$K$6-Normal!$B$24*$A7/Assumptions!$B$42)+Normal!$B$24*$A7/Assumptions!$B$42*B$4</f>
        <v>847.818332847718</v>
      </c>
      <c r="C7" s="58" t="n">
        <f aca="false">Valuation!$B$5+Valuation!$B$23*(Scenarios!$K$6-Normal!$B$24*$A7/Assumptions!$B$42)+Normal!$B$24*$A7/Assumptions!$B$42*C$4</f>
        <v>948.20326344111</v>
      </c>
      <c r="D7" s="58" t="n">
        <f aca="false">Valuation!$B$5+Valuation!$B$23*(Scenarios!$K$6-Normal!$B$24*$A7/Assumptions!$B$42)+Normal!$B$24*$A7/Assumptions!$B$42*D$4</f>
        <v>1048.5881940345</v>
      </c>
    </row>
    <row r="9" customFormat="false" ht="15" hidden="false" customHeight="false" outlineLevel="0" collapsed="false">
      <c r="A9" s="5" t="s">
        <v>338</v>
      </c>
      <c r="B9" s="0" t="n">
        <f aca="false">COUNTIF(B5:D7,"&gt;"&amp;Assumptions!$B$7)</f>
        <v>1</v>
      </c>
      <c r="C9" s="0" t="s">
        <v>339</v>
      </c>
    </row>
    <row r="10" customFormat="false" ht="15" hidden="false" customHeight="false" outlineLevel="0" collapsed="false">
      <c r="A10" s="5" t="s">
        <v>340</v>
      </c>
      <c r="B10" s="0" t="n">
        <f aca="false">COUNTIF(B5:D7,"&lt;="&amp;Assumptions!$B$7*0.75)</f>
        <v>4</v>
      </c>
      <c r="C10" s="0" t="s">
        <v>339</v>
      </c>
    </row>
    <row r="12" customFormat="false" ht="15" hidden="false" customHeight="false" outlineLevel="0" collapsed="false">
      <c r="A12" s="12" t="s">
        <v>341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15" hidden="false" customHeight="false" outlineLevel="0" collapsed="false">
      <c r="A1" s="1" t="s">
        <v>342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343</v>
      </c>
      <c r="B4" s="4" t="s">
        <v>344</v>
      </c>
      <c r="C4" s="4" t="s">
        <v>345</v>
      </c>
      <c r="D4" s="4" t="s">
        <v>346</v>
      </c>
      <c r="E4" s="4" t="s">
        <v>347</v>
      </c>
      <c r="F4" s="4" t="s">
        <v>348</v>
      </c>
      <c r="G4" s="4" t="s">
        <v>349</v>
      </c>
      <c r="H4" s="4" t="s">
        <v>350</v>
      </c>
    </row>
    <row r="5" customFormat="false" ht="15" hidden="false" customHeight="false" outlineLevel="0" collapsed="false">
      <c r="A5" s="5" t="s">
        <v>351</v>
      </c>
      <c r="B5" s="0" t="s">
        <v>352</v>
      </c>
      <c r="C5" s="60" t="n">
        <f aca="false">Assumptions!$B$7</f>
        <v>1045.56</v>
      </c>
      <c r="D5" s="0" t="s">
        <v>53</v>
      </c>
      <c r="E5" s="60" t="n">
        <f aca="false">Assumptions!$B$17</f>
        <v>176.15</v>
      </c>
      <c r="F5" s="0" t="s">
        <v>353</v>
      </c>
      <c r="G5" s="54" t="n">
        <f aca="false">C5/E5</f>
        <v>5.93562304853818</v>
      </c>
      <c r="H5" s="0" t="s">
        <v>354</v>
      </c>
    </row>
    <row r="6" customFormat="false" ht="15" hidden="false" customHeight="false" outlineLevel="0" collapsed="false">
      <c r="A6" s="0" t="s">
        <v>355</v>
      </c>
      <c r="B6" s="0" t="s">
        <v>356</v>
      </c>
      <c r="C6" s="28" t="n">
        <v>1723000</v>
      </c>
      <c r="D6" s="0" t="s">
        <v>357</v>
      </c>
      <c r="E6" s="28" t="n">
        <v>470190</v>
      </c>
      <c r="F6" s="0" t="s">
        <v>358</v>
      </c>
      <c r="G6" s="54" t="n">
        <f aca="false">C6/E6</f>
        <v>3.6644760628682</v>
      </c>
      <c r="H6" s="0" t="s">
        <v>354</v>
      </c>
    </row>
    <row r="7" customFormat="false" ht="15" hidden="false" customHeight="false" outlineLevel="0" collapsed="false">
      <c r="A7" s="0" t="s">
        <v>359</v>
      </c>
      <c r="B7" s="0" t="s">
        <v>360</v>
      </c>
      <c r="C7" s="28" t="n">
        <v>268500</v>
      </c>
      <c r="D7" s="0" t="s">
        <v>357</v>
      </c>
      <c r="E7" s="28" t="n">
        <v>71030</v>
      </c>
      <c r="F7" s="0" t="s">
        <v>358</v>
      </c>
      <c r="G7" s="54" t="n">
        <f aca="false">C7/E7</f>
        <v>3.78009291848515</v>
      </c>
      <c r="H7" s="0" t="s">
        <v>361</v>
      </c>
    </row>
    <row r="8" customFormat="false" ht="15" hidden="false" customHeight="false" outlineLevel="0" collapsed="false">
      <c r="A8" s="0" t="s">
        <v>362</v>
      </c>
      <c r="B8" s="0" t="s">
        <v>363</v>
      </c>
      <c r="C8" s="28" t="n">
        <v>1660.46</v>
      </c>
      <c r="D8" s="0" t="s">
        <v>53</v>
      </c>
      <c r="E8" s="28" t="n">
        <v>213.9</v>
      </c>
      <c r="F8" s="0" t="s">
        <v>364</v>
      </c>
      <c r="G8" s="54" t="n">
        <f aca="false">C8/E8</f>
        <v>7.7627863487611</v>
      </c>
      <c r="H8" s="0" t="s">
        <v>365</v>
      </c>
    </row>
    <row r="9" customFormat="false" ht="15" hidden="false" customHeight="false" outlineLevel="0" collapsed="false">
      <c r="A9" s="0" t="s">
        <v>366</v>
      </c>
      <c r="B9" s="0" t="s">
        <v>367</v>
      </c>
      <c r="C9" s="28" t="n">
        <v>29.43</v>
      </c>
      <c r="D9" s="0" t="s">
        <v>368</v>
      </c>
      <c r="E9" s="28" t="n">
        <v>5.63</v>
      </c>
      <c r="F9" s="0" t="s">
        <v>369</v>
      </c>
      <c r="G9" s="54" t="n">
        <f aca="false">C9/E9</f>
        <v>5.22735346358792</v>
      </c>
      <c r="H9" s="0" t="s">
        <v>365</v>
      </c>
    </row>
    <row r="11" customFormat="false" ht="15" hidden="false" customHeight="false" outlineLevel="0" collapsed="false">
      <c r="A11" s="5" t="s">
        <v>370</v>
      </c>
      <c r="G11" s="54" t="n">
        <f aca="false">MEDIAN(G6:G9)</f>
        <v>4.50372319103654</v>
      </c>
    </row>
    <row r="13" customFormat="false" ht="15" hidden="false" customHeight="false" outlineLevel="0" collapsed="false">
      <c r="A13" s="12" t="s">
        <v>371</v>
      </c>
    </row>
    <row r="14" customFormat="false" ht="15" hidden="false" customHeight="false" outlineLevel="0" collapsed="false">
      <c r="A14" s="12" t="s">
        <v>372</v>
      </c>
    </row>
    <row r="15" customFormat="false" ht="15" hidden="false" customHeight="false" outlineLevel="0" collapsed="false">
      <c r="A15" s="12" t="s">
        <v>373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374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375</v>
      </c>
      <c r="B4" s="4" t="s">
        <v>376</v>
      </c>
    </row>
    <row r="5" customFormat="false" ht="23.85" hidden="false" customHeight="false" outlineLevel="0" collapsed="false">
      <c r="A5" s="0" t="n">
        <v>1</v>
      </c>
      <c r="B5" s="7" t="s">
        <v>377</v>
      </c>
    </row>
    <row r="6" customFormat="false" ht="35.05" hidden="false" customHeight="false" outlineLevel="0" collapsed="false">
      <c r="A6" s="0" t="n">
        <v>2</v>
      </c>
      <c r="B6" s="7" t="s">
        <v>378</v>
      </c>
    </row>
    <row r="7" customFormat="false" ht="23.85" hidden="false" customHeight="false" outlineLevel="0" collapsed="false">
      <c r="A7" s="0" t="n">
        <v>3</v>
      </c>
      <c r="B7" s="7" t="s">
        <v>379</v>
      </c>
    </row>
    <row r="8" customFormat="false" ht="35.05" hidden="false" customHeight="false" outlineLevel="0" collapsed="false">
      <c r="A8" s="0" t="n">
        <v>4</v>
      </c>
      <c r="B8" s="7" t="s">
        <v>380</v>
      </c>
    </row>
    <row r="9" customFormat="false" ht="15" hidden="false" customHeight="false" outlineLevel="0" collapsed="false">
      <c r="A9" s="0" t="n">
        <v>5</v>
      </c>
      <c r="B9" s="7" t="s">
        <v>381</v>
      </c>
    </row>
    <row r="10" customFormat="false" ht="15" hidden="false" customHeight="false" outlineLevel="0" collapsed="false">
      <c r="A10" s="0" t="n">
        <v>6</v>
      </c>
      <c r="B10" s="7" t="s">
        <v>382</v>
      </c>
    </row>
    <row r="11" customFormat="false" ht="23.85" hidden="false" customHeight="false" outlineLevel="0" collapsed="false">
      <c r="A11" s="0" t="n">
        <v>7</v>
      </c>
      <c r="B11" s="7" t="s">
        <v>383</v>
      </c>
    </row>
    <row r="12" customFormat="false" ht="23.85" hidden="false" customHeight="false" outlineLevel="0" collapsed="false">
      <c r="A12" s="0" t="n">
        <v>8</v>
      </c>
      <c r="B12" s="7" t="s">
        <v>384</v>
      </c>
    </row>
    <row r="13" customFormat="false" ht="23.85" hidden="false" customHeight="false" outlineLevel="0" collapsed="false">
      <c r="A13" s="0" t="n">
        <v>9</v>
      </c>
      <c r="B13" s="7" t="s">
        <v>385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2026-10-07T12:26:34Z</dcterms:created>
  <dc:creator>openpyxl</dc:creator>
  <dc:description/>
  <dc:language>en-GB</dc:language>
  <cp:lastModifiedBy/>
  <dcterms:modified xsi:type="dcterms:W3CDTF">2026-10-07T12:26:34Z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