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over" sheetId="1" state="visible" r:id="rId3"/>
    <sheet name="Assumptions" sheetId="2" state="visible" r:id="rId4"/>
    <sheet name="History" sheetId="3" state="visible" r:id="rId5"/>
    <sheet name="Forecast" sheetId="4" state="visible" r:id="rId6"/>
    <sheet name="SOTP" sheetId="5" state="visible" r:id="rId7"/>
    <sheet name="Scenarios" sheetId="6" state="visible" r:id="rId8"/>
    <sheet name="Sensitivity" sheetId="7" state="visible" r:id="rId9"/>
    <sheet name="Peers" sheetId="8" state="visible" r:id="rId10"/>
    <sheet name="Price" sheetId="9" state="visible" r:id="rId11"/>
    <sheet name="Source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<sst xmlns="http://schemas.openxmlformats.org/spreadsheetml/2006/main" count="500" uniqueCount="397">
  <si>
    <t xml:space="preserve">AJINOMOTO CO., INC. (TOKYO STOCK EXCHANGE PRIME: 2802)  INITIATION MODEL</t>
  </si>
  <si>
    <t xml:space="preserve">Tommy Lau | Ajinomoto Co., Inc. (Tokyo: 2802) | 7 October 2026 | Yen billion unless stated | Fiscal years end 31 March | Personal research, not investment advice.</t>
  </si>
  <si>
    <t xml:space="preserve">Item</t>
  </si>
  <si>
    <t xml:space="preserve">Value</t>
  </si>
  <si>
    <t xml:space="preserve">Note</t>
  </si>
  <si>
    <t xml:space="preserve">Call</t>
  </si>
  <si>
    <t xml:space="preserve">Tommy Lau's call.</t>
  </si>
  <si>
    <t xml:space="preserve">Target, JPY</t>
  </si>
  <si>
    <t xml:space="preserve">None (no call)</t>
  </si>
  <si>
    <t xml:space="preserve">Conviction</t>
  </si>
  <si>
    <t xml:space="preserve">Low</t>
  </si>
  <si>
    <t xml:space="preserve">Judgement, not formula.</t>
  </si>
  <si>
    <t xml:space="preserve">Reference price, JPY</t>
  </si>
  <si>
    <t xml:space="preserve">Tokyo close, 7 October 2026.</t>
  </si>
  <si>
    <t xml:space="preserve">Base value, JPY</t>
  </si>
  <si>
    <t xml:space="preserve">Sum of the parts on FY2027E: 18x everything else, 28x the film.</t>
  </si>
  <si>
    <t xml:space="preserve">Base value against the price</t>
  </si>
  <si>
    <t xml:space="preserve">Probability-weighted value, JPY</t>
  </si>
  <si>
    <t xml:space="preserve">25 / 50 / 25.</t>
  </si>
  <si>
    <t xml:space="preserve">Value on peer medians, JPY</t>
  </si>
  <si>
    <t xml:space="preserve">17.0x food, 24.5x electronic materials.</t>
  </si>
  <si>
    <t xml:space="preserve">Film share of EV: my base / at the price</t>
  </si>
  <si>
    <t xml:space="preserve">Film share of sales / business profit, FY2025</t>
  </si>
  <si>
    <t xml:space="preserve">Business profit before shared costs, like for like.</t>
  </si>
  <si>
    <t xml:space="preserve">FY2026E / FY2027E EPS, JPY</t>
  </si>
  <si>
    <t xml:space="preserve">Own estimates.</t>
  </si>
  <si>
    <t xml:space="preserve">Horizon</t>
  </si>
  <si>
    <t xml:space="preserve">12 months, to October 2027</t>
  </si>
  <si>
    <t xml:space="preserve">Tabs</t>
  </si>
  <si>
    <t xml:space="preserve">Assumptions</t>
  </si>
  <si>
    <t xml:space="preserve">Every input, with its source. Change the yellow cells to move the value.</t>
  </si>
  <si>
    <t xml:space="preserve">History</t>
  </si>
  <si>
    <t xml:space="preserve">Segment sales and business profit, the film's share of sales and profit, Functional Materials by year and quarter.</t>
  </si>
  <si>
    <t xml:space="preserve">Forecast</t>
  </si>
  <si>
    <t xml:space="preserve">FY2026E and FY2027E segment build and group P&amp;L, against the guide and consensus.</t>
  </si>
  <si>
    <t xml:space="preserve">SOTP</t>
  </si>
  <si>
    <t xml:space="preserve">Cost allocation, sum of the parts, the band, what the price implies, how much the film moves the whole.</t>
  </si>
  <si>
    <t xml:space="preserve">Scenarios</t>
  </si>
  <si>
    <t xml:space="preserve">Bear / base / bull on FY2027E; probability-weighted value.</t>
  </si>
  <si>
    <t xml:space="preserve">Sensitivity</t>
  </si>
  <si>
    <t xml:space="preserve">Film sales against the film multiple.</t>
  </si>
  <si>
    <t xml:space="preserve">Peers</t>
  </si>
  <si>
    <t xml:space="preserve">Food and electronic materials peers on forward EV / operating income and P/E.</t>
  </si>
  <si>
    <t xml:space="preserve">Price</t>
  </si>
  <si>
    <t xml:space="preserve">Month-end closes, October 2023 to 7 October 2026.</t>
  </si>
  <si>
    <t xml:space="preserve">Sources</t>
  </si>
  <si>
    <t xml:space="preserve">Documents behind every figure.</t>
  </si>
  <si>
    <t xml:space="preserve">ASSUMPTIONS AND INPUTS</t>
  </si>
  <si>
    <t xml:space="preserve">Blue = hardcoded input. Yellow fill = my own assumption (change these to move the value). Green = link to another tab. Black = formula. Yen billion unless stated; per-share figures in yen; shares in millions.</t>
  </si>
  <si>
    <t xml:space="preserve">Input</t>
  </si>
  <si>
    <t xml:space="preserve">Unit</t>
  </si>
  <si>
    <t xml:space="preserve">Source / note</t>
  </si>
  <si>
    <t xml:space="preserve">MARKET (stockanalysis.com, retrieved 7 October 2026)</t>
  </si>
  <si>
    <t xml:space="preserve">Share price (Tokyo: 2802)</t>
  </si>
  <si>
    <t xml:space="preserve">JPY</t>
  </si>
  <si>
    <t xml:space="preserve">Close, 7 October 2026.</t>
  </si>
  <si>
    <t xml:space="preserve">Highest close of the past year (1 July 2026)</t>
  </si>
  <si>
    <t xml:space="preserve">Intraday high JPY 6,340 on 6 July 2026.</t>
  </si>
  <si>
    <t xml:space="preserve">Lowest close of the past year (9 January 2026)</t>
  </si>
  <si>
    <t xml:space="preserve">Intraday low JPY 3,270 on 8 January 2026.</t>
  </si>
  <si>
    <t xml:space="preserve">Close, 30 December 2025</t>
  </si>
  <si>
    <t xml:space="preserve">Split-adjusted.</t>
  </si>
  <si>
    <t xml:space="preserve">Close, 31 March 2025</t>
  </si>
  <si>
    <t xml:space="preserve">Split-adjusted (2-for-1 split effective 1 April 2025).</t>
  </si>
  <si>
    <t xml:space="preserve">Shares outstanding excluding treasury, 30 June 2026</t>
  </si>
  <si>
    <t xml:space="preserve">m</t>
  </si>
  <si>
    <t xml:space="preserve">Q1 FY2026 tanshin: 977,735,616 issued less 23,173,875 treasury.</t>
  </si>
  <si>
    <t xml:space="preserve">Shares repurchased 1 July to 30 September 2026</t>
  </si>
  <si>
    <t xml:space="preserve">Buyback notices of 2 July and 2 October 2026 (cumulative 11,951,600 to 15,588,400).</t>
  </si>
  <si>
    <t xml:space="preserve">FY2026 consensus EPS (year to March 2027)</t>
  </si>
  <si>
    <t xml:space="preserve">stockanalysis.com (S&amp;P Global), forecast page last updated 7 August 2026.</t>
  </si>
  <si>
    <t xml:space="preserve">FY2026 consensus operating income</t>
  </si>
  <si>
    <t xml:space="preserve">JPY bn</t>
  </si>
  <si>
    <t xml:space="preserve">Same source.</t>
  </si>
  <si>
    <t xml:space="preserve">Average analyst price target</t>
  </si>
  <si>
    <t xml:space="preserve">stockanalysis.com, 7 October 2026.</t>
  </si>
  <si>
    <t xml:space="preserve">Enterprise value per stockanalysis.com</t>
  </si>
  <si>
    <t xml:space="preserve">On 954.56m shares; my EV uses 950.9m.</t>
  </si>
  <si>
    <t xml:space="preserve">BALANCE SHEET, 30 JUNE 2026 (Q1 FY2026 tanshin)</t>
  </si>
  <si>
    <t xml:space="preserve">Cash and cash equivalents</t>
  </si>
  <si>
    <t xml:space="preserve">Borrowings, commercial paper and bonds (excluding leases)</t>
  </si>
  <si>
    <t xml:space="preserve">7.1 + 140.0 + 30.0 + 4.0 + 174.5 + 206.3. Ajinomoto's interest-bearing debt including leases: JPY 623.7bn.</t>
  </si>
  <si>
    <t xml:space="preserve">Non-controlling interests, book value</t>
  </si>
  <si>
    <t xml:space="preserve">Added to EV as stockanalysis.com does for every peer.</t>
  </si>
  <si>
    <t xml:space="preserve">GUIDED (FY2026 revised forecast, 6 August 2026)</t>
  </si>
  <si>
    <t xml:space="preserve">Seasonings and Foods plus Frozen Foods business profit, FY2026</t>
  </si>
  <si>
    <t xml:space="preserve">145.9 + 12.1.</t>
  </si>
  <si>
    <t xml:space="preserve">Seasonings and Foods plus Frozen Foods sales, FY2026</t>
  </si>
  <si>
    <t xml:space="preserve">998.6 + 310.6.</t>
  </si>
  <si>
    <t xml:space="preserve">Bio-Pharma Services and Ingredients plus Others sales, FY2026</t>
  </si>
  <si>
    <t xml:space="preserve">176.2 + 109.9.</t>
  </si>
  <si>
    <t xml:space="preserve">Other segment sales, FY2026 (held in FY2027)</t>
  </si>
  <si>
    <t xml:space="preserve">Functional Materials sales, FY2026 guide</t>
  </si>
  <si>
    <t xml:space="preserve">Raised by JPY 9.0bn on 6 August.</t>
  </si>
  <si>
    <t xml:space="preserve">Functional Materials business profit, FY2026 guide</t>
  </si>
  <si>
    <t xml:space="preserve">Raised by JPY 5.0bn on 6 August.</t>
  </si>
  <si>
    <t xml:space="preserve">Bio-Pharma Services and Ingredients business profit, FY2026</t>
  </si>
  <si>
    <t xml:space="preserve">Guide.</t>
  </si>
  <si>
    <t xml:space="preserve">Others business profit, FY2026</t>
  </si>
  <si>
    <t xml:space="preserve">Other segment business profit, FY2026</t>
  </si>
  <si>
    <t xml:space="preserve">Shared companywide expenses, FY2026</t>
  </si>
  <si>
    <t xml:space="preserve">Net financial income and expense</t>
  </si>
  <si>
    <t xml:space="preserve">Guide: profit before tax 180.2 less operating profit 184.2.</t>
  </si>
  <si>
    <t xml:space="preserve">MY ASSUMPTIONS</t>
  </si>
  <si>
    <t xml:space="preserve">Functional Materials sales, FY2026E</t>
  </si>
  <si>
    <t xml:space="preserve">MINE. Q1 33.1; the guide of 120.6 implies only +10% for Q2 to Q4 after +54% in Q1.</t>
  </si>
  <si>
    <t xml:space="preserve">Functional Materials sales, FY2027E (base)</t>
  </si>
  <si>
    <t xml:space="preserve">MINE. +17%: volume within existing sites plus mix and some price.</t>
  </si>
  <si>
    <t xml:space="preserve">Functional Materials business profit margin, FY2026E</t>
  </si>
  <si>
    <t xml:space="preserve">%</t>
  </si>
  <si>
    <t xml:space="preserve">MINE. FY2025 54.2%; Q1 FY2026 57.7%.</t>
  </si>
  <si>
    <t xml:space="preserve">Functional Materials business profit margin, FY2027E (base)</t>
  </si>
  <si>
    <t xml:space="preserve">MINE.</t>
  </si>
  <si>
    <t xml:space="preserve">Food business profit growth, FY2027E</t>
  </si>
  <si>
    <t xml:space="preserve">MINE. Seasonings and Foods plus Frozen Foods.</t>
  </si>
  <si>
    <t xml:space="preserve">Food sales growth, FY2027E</t>
  </si>
  <si>
    <t xml:space="preserve">Bio-Pharma and Others sales growth, FY2027E</t>
  </si>
  <si>
    <t xml:space="preserve">Bio-Pharma Services and Ingredients business profit, FY2027E</t>
  </si>
  <si>
    <t xml:space="preserve">Others business profit, FY2027E</t>
  </si>
  <si>
    <t xml:space="preserve">Other segment business profit, FY2027E</t>
  </si>
  <si>
    <t xml:space="preserve">Shared companywide expenses, FY2027E</t>
  </si>
  <si>
    <t xml:space="preserve">Net other operating expense, FY2026E</t>
  </si>
  <si>
    <t xml:space="preserve">MINE, from the guide: operating profit 184.2 less business profit 202.0.</t>
  </si>
  <si>
    <t xml:space="preserve">Net other operating expense, FY2027E</t>
  </si>
  <si>
    <t xml:space="preserve">Tax rate</t>
  </si>
  <si>
    <t xml:space="preserve">MINE. FY2026 guide 25.9%; FY2025 26.0%.</t>
  </si>
  <si>
    <t xml:space="preserve">Profit to non-controlling interests, FY2026E</t>
  </si>
  <si>
    <t xml:space="preserve">Guide 10.0.</t>
  </si>
  <si>
    <t xml:space="preserve">Profit to non-controlling interests, FY2027E</t>
  </si>
  <si>
    <t xml:space="preserve">Average shares, FY2026E</t>
  </si>
  <si>
    <t xml:space="preserve">MINE. JPY 80bn buyback runs to 30 November 2026.</t>
  </si>
  <si>
    <t xml:space="preserve">Average shares, FY2027E</t>
  </si>
  <si>
    <t xml:space="preserve">EV / business profit, everything except the film (base)</t>
  </si>
  <si>
    <t xml:space="preserve">x</t>
  </si>
  <si>
    <t xml:space="preserve">MINE. Food peers: Kikkoman 18.9x, Nestle 17.0x, Kraft Heinz 10.9x (median 17.0x).</t>
  </si>
  <si>
    <t xml:space="preserve">EV / business profit, Functional Materials (base)</t>
  </si>
  <si>
    <t xml:space="preserve">MINE. Electronic materials peers: Resonac 24.5x, Shin-Etsu 14.0x, Entegris 32.6x (median 24.5x).</t>
  </si>
  <si>
    <t xml:space="preserve">Derived</t>
  </si>
  <si>
    <t xml:space="preserve">Shares outstanding, about 30 September 2026 (m)</t>
  </si>
  <si>
    <t xml:space="preserve">Net debt (debt excluding leases less cash)</t>
  </si>
  <si>
    <t xml:space="preserve">Market value</t>
  </si>
  <si>
    <t xml:space="preserve">Enterprise value at the price</t>
  </si>
  <si>
    <t xml:space="preserve">HISTORY: SEGMENTS, FUNCTIONAL MATERIALS AND THE FILM'S SHARE</t>
  </si>
  <si>
    <t xml:space="preserve">JPY billion</t>
  </si>
  <si>
    <t xml:space="preserve">FY2024</t>
  </si>
  <si>
    <t xml:space="preserve">FY2025</t>
  </si>
  <si>
    <t xml:space="preserve">FY2026 guide</t>
  </si>
  <si>
    <t xml:space="preserve">Q1 FY25</t>
  </si>
  <si>
    <t xml:space="preserve">Q1 FY26</t>
  </si>
  <si>
    <t xml:space="preserve">Sales</t>
  </si>
  <si>
    <t xml:space="preserve">  Seasonings and Foods</t>
  </si>
  <si>
    <t xml:space="preserve">  Frozen Foods</t>
  </si>
  <si>
    <t xml:space="preserve">  Bio-Pharma Services and Ingredients</t>
  </si>
  <si>
    <t xml:space="preserve">  Functional Materials (electronic materials and others)</t>
  </si>
  <si>
    <t xml:space="preserve">  Others (Healthcare and Others)</t>
  </si>
  <si>
    <t xml:space="preserve">  Other segment</t>
  </si>
  <si>
    <t xml:space="preserve">Total sales</t>
  </si>
  <si>
    <t xml:space="preserve">Reported total sales (check)</t>
  </si>
  <si>
    <t xml:space="preserve">Business profit</t>
  </si>
  <si>
    <t xml:space="preserve">  Functional Materials</t>
  </si>
  <si>
    <t xml:space="preserve">Segment business profit before shared costs</t>
  </si>
  <si>
    <t xml:space="preserve">  Shared companywide expenses</t>
  </si>
  <si>
    <t xml:space="preserve">Group business profit</t>
  </si>
  <si>
    <t xml:space="preserve">Reported group business profit (check)</t>
  </si>
  <si>
    <t xml:space="preserve">The film's share</t>
  </si>
  <si>
    <t xml:space="preserve">Functional Materials, share of sales</t>
  </si>
  <si>
    <t xml:space="preserve">Functional Materials, share of segment business profit (before shared costs)</t>
  </si>
  <si>
    <t xml:space="preserve">Functional Materials, share of group business profit</t>
  </si>
  <si>
    <t xml:space="preserve">Functional Materials business profit margin</t>
  </si>
  <si>
    <t xml:space="preserve">Seasonings and Foods plus Frozen Foods, share of sales</t>
  </si>
  <si>
    <t xml:space="preserve">Seasonings and Foods plus Frozen Foods, share of segment business profit</t>
  </si>
  <si>
    <t xml:space="preserve">Functional Materials by year</t>
  </si>
  <si>
    <t xml:space="preserve">FY2021</t>
  </si>
  <si>
    <t xml:space="preserve">FY2022</t>
  </si>
  <si>
    <t xml:space="preserve">FY2023</t>
  </si>
  <si>
    <t xml:space="preserve">Margin</t>
  </si>
  <si>
    <t xml:space="preserve">Functional Materials by quarter</t>
  </si>
  <si>
    <t xml:space="preserve">Q2 FY25</t>
  </si>
  <si>
    <t xml:space="preserve">Q3 FY25</t>
  </si>
  <si>
    <t xml:space="preserve">Q4 FY25</t>
  </si>
  <si>
    <t xml:space="preserve">Sales growth on the year before</t>
  </si>
  <si>
    <t xml:space="preserve">Business profit growth on the year before</t>
  </si>
  <si>
    <t xml:space="preserve">Ajinomoto Fine-Techno FY2025: sales, operating profit</t>
  </si>
  <si>
    <t xml:space="preserve">Source: Ajinomoto Consolidated Results data sheets (FY2022 to Q1 FY2026) and FY2026 Revised Forecast by Segment, 6 August 2026. FY2024 restated without shared companywide expenses.</t>
  </si>
  <si>
    <t xml:space="preserve">Ajinomoto prints Functional Materials sales and business profit in yen each quarter, so the margin is exact, not only the 'over 50%' wording. Functional Materials is a business inside the Healthcare and Others segment; it includes ABF and other products such as adhesives. Business profit bases differ before FY2024 (allocation changes in FY2023 and FY2025).</t>
  </si>
  <si>
    <t xml:space="preserve">Ajinomoto Fine-Techno figures: Q1 FY2026 presentation, slide 15.</t>
  </si>
  <si>
    <t xml:space="preserve">FORECAST: SEGMENT BUILD AND GROUP P&amp;L, FY2026E AND FY2027E</t>
  </si>
  <si>
    <t xml:space="preserve">FY2026E*</t>
  </si>
  <si>
    <t xml:space="preserve">FY2027E*</t>
  </si>
  <si>
    <t xml:space="preserve">Basis</t>
  </si>
  <si>
    <t xml:space="preserve">Food sales (Seasonings and Foods plus Frozen Foods)</t>
  </si>
  <si>
    <t xml:space="preserve">Bio-Pharma and Others sales</t>
  </si>
  <si>
    <t xml:space="preserve">Other segment sales</t>
  </si>
  <si>
    <t xml:space="preserve">Functional Materials sales</t>
  </si>
  <si>
    <t xml:space="preserve">My estimates differ from the guide here only.</t>
  </si>
  <si>
    <t xml:space="preserve">Food business profit</t>
  </si>
  <si>
    <t xml:space="preserve">Bio-Pharma Services and Ingredients business profit</t>
  </si>
  <si>
    <t xml:space="preserve">Others business profit</t>
  </si>
  <si>
    <t xml:space="preserve">Other segment business profit</t>
  </si>
  <si>
    <t xml:space="preserve">Functional Materials business profit</t>
  </si>
  <si>
    <t xml:space="preserve">Shared companywide expenses</t>
  </si>
  <si>
    <t xml:space="preserve">Guide: 202.0.</t>
  </si>
  <si>
    <t xml:space="preserve">Net other operating expense</t>
  </si>
  <si>
    <t xml:space="preserve">Operating profit</t>
  </si>
  <si>
    <t xml:space="preserve">Guide: 184.2.</t>
  </si>
  <si>
    <t xml:space="preserve">Profit before tax</t>
  </si>
  <si>
    <t xml:space="preserve">Profit attributable to owners of the parent</t>
  </si>
  <si>
    <t xml:space="preserve">Guide: 123.5.</t>
  </si>
  <si>
    <t xml:space="preserve">EPS, JPY</t>
  </si>
  <si>
    <t xml:space="preserve">Guide: 129.84.</t>
  </si>
  <si>
    <t xml:space="preserve">P/E at the price</t>
  </si>
  <si>
    <t xml:space="preserve">Functional Materials margin</t>
  </si>
  <si>
    <t xml:space="preserve">Functional Materials sales growth</t>
  </si>
  <si>
    <t xml:space="preserve">Consensus EPS (stockanalysis.com, 7 Aug 2026)</t>
  </si>
  <si>
    <t xml:space="preserve">FY2027 consensus not verified.</t>
  </si>
  <si>
    <t xml:space="preserve">Mine against consensus</t>
  </si>
  <si>
    <t xml:space="preserve">*My own estimates. FY2026 guide column applies my tax and other-items assumptions to Ajinomoto's segment guide, so its EPS differs slightly from the company's JPY 129.84.</t>
  </si>
  <si>
    <t xml:space="preserve">FY2026 = the year to 31 March 2027; FY2027 = the year to 31 March 2028. Business profit = sales less cost of sales, selling, R&amp;D and G&amp;A, plus share of associates' profit.</t>
  </si>
  <si>
    <t xml:space="preserve">SUM OF THE PARTS ON FY2027E, TWELVE MONTHS OUT</t>
  </si>
  <si>
    <t xml:space="preserve">JPY billion unless stated</t>
  </si>
  <si>
    <t xml:space="preserve">FY2026E</t>
  </si>
  <si>
    <t xml:space="preserve">FY2027E</t>
  </si>
  <si>
    <t xml:space="preserve">Shared costs and net other operating expense</t>
  </si>
  <si>
    <t xml:space="preserve">Spread by sales.</t>
  </si>
  <si>
    <t xml:space="preserve">Functional Materials share of sales</t>
  </si>
  <si>
    <t xml:space="preserve">Functional Materials profit after its share of costs</t>
  </si>
  <si>
    <t xml:space="preserve">Everything else after its share of costs</t>
  </si>
  <si>
    <t xml:space="preserve">Food, Bio-Pharma, Others, Other segment.</t>
  </si>
  <si>
    <t xml:space="preserve">Film share of profit after costs</t>
  </si>
  <si>
    <t xml:space="preserve">Base valuation</t>
  </si>
  <si>
    <t xml:space="preserve">EV, everything except the film</t>
  </si>
  <si>
    <t xml:space="preserve">Base multiple x FY2027E.</t>
  </si>
  <si>
    <t xml:space="preserve">EV, Functional Materials</t>
  </si>
  <si>
    <t xml:space="preserve">Enterprise value</t>
  </si>
  <si>
    <t xml:space="preserve">Less net debt</t>
  </si>
  <si>
    <t xml:space="preserve">30 June 2026, held flat (MINE).</t>
  </si>
  <si>
    <t xml:space="preserve">Less non-controlling interests (book)</t>
  </si>
  <si>
    <t xml:space="preserve">Equity value</t>
  </si>
  <si>
    <t xml:space="preserve">Base value per share, JPY</t>
  </si>
  <si>
    <t xml:space="preserve">Rule (long at +15% or more, short at -25% or less)</t>
  </si>
  <si>
    <t xml:space="preserve">NO CALL</t>
  </si>
  <si>
    <t xml:space="preserve">Judgement; the rule above gives the band.</t>
  </si>
  <si>
    <t xml:space="preserve">Everything else less net debt and minorities, per share</t>
  </si>
  <si>
    <t xml:space="preserve">Film, per share at the base multiple</t>
  </si>
  <si>
    <t xml:space="preserve">Film share of EV at my base</t>
  </si>
  <si>
    <t xml:space="preserve">Revisit long: price at or below</t>
  </si>
  <si>
    <t xml:space="preserve">Revisit short: price at or above</t>
  </si>
  <si>
    <t xml:space="preserve">Value on peer medians (no premium), per share</t>
  </si>
  <si>
    <t xml:space="preserve">Food median and electronic materials median.</t>
  </si>
  <si>
    <t xml:space="preserve">Peer-median value against the price</t>
  </si>
  <si>
    <t xml:space="preserve">What the price implies</t>
  </si>
  <si>
    <t xml:space="preserve">Implied film EV (EV less everything else at my base)</t>
  </si>
  <si>
    <t xml:space="preserve">Implied film EV / FY2027E film profit after costs</t>
  </si>
  <si>
    <t xml:space="preserve">Film profit after costs the price needs at the base multiple</t>
  </si>
  <si>
    <t xml:space="preserve">Film share of EV at the price</t>
  </si>
  <si>
    <t xml:space="preserve">Everything else as a share of the price</t>
  </si>
  <si>
    <t xml:space="preserve">10% on the implied film value, JPY per share</t>
  </si>
  <si>
    <t xml:space="preserve">... as a share of the price</t>
  </si>
  <si>
    <t xml:space="preserve">10% on my film value, JPY per share</t>
  </si>
  <si>
    <t xml:space="preserve">One turn of film multiple, JPY per share</t>
  </si>
  <si>
    <t xml:space="preserve">One turn of the other multiple, JPY per share</t>
  </si>
  <si>
    <t xml:space="preserve">P/E on FY2026 consensus</t>
  </si>
  <si>
    <t xml:space="preserve">EV / FY2026 consensus operating income (stockanalysis EV)</t>
  </si>
  <si>
    <t xml:space="preserve">EV / FY2026 guided business profit</t>
  </si>
  <si>
    <t xml:space="preserve">Reported guide total, 202.0.</t>
  </si>
  <si>
    <t xml:space="preserve">Share price change since 30 December 2025</t>
  </si>
  <si>
    <t xml:space="preserve">Share price against the highest close of the past year</t>
  </si>
  <si>
    <t xml:space="preserve">Costs are spread by sales because Ajinomoto Fine-Techno's own accounts already carry most of the film's overheads: its FY2025 operating profit (53.0) was close to Functional Materials business profit (54.6).</t>
  </si>
  <si>
    <t xml:space="preserve">Peer multiples are EV over consensus operating income for the fiscal year ending December 2026 or March 2027; applied to FY2027E, the year the market prices in October 2027.</t>
  </si>
  <si>
    <t xml:space="preserve">SCENARIOS: BEAR / BASE / BULL ON FY2027E</t>
  </si>
  <si>
    <t xml:space="preserve">Bear</t>
  </si>
  <si>
    <t xml:space="preserve">Base</t>
  </si>
  <si>
    <t xml:space="preserve">Bull</t>
  </si>
  <si>
    <t xml:space="preserve">Functional Materials sales FY2027E</t>
  </si>
  <si>
    <t xml:space="preserve">Bear: a pause like FY2023; bull: the reported 30% price rise sticks.</t>
  </si>
  <si>
    <t xml:space="preserve">Food business profit growth FY2027E</t>
  </si>
  <si>
    <t xml:space="preserve">Bio-Pharma business profit FY2027E</t>
  </si>
  <si>
    <t xml:space="preserve">EV / profit, everything except the film</t>
  </si>
  <si>
    <t xml:space="preserve">EV / profit, film</t>
  </si>
  <si>
    <t xml:space="preserve">Probability</t>
  </si>
  <si>
    <t xml:space="preserve">Total sales FY2027E</t>
  </si>
  <si>
    <t xml:space="preserve">Costs (shared and other), spread by sales</t>
  </si>
  <si>
    <t xml:space="preserve">Film profit after costs</t>
  </si>
  <si>
    <t xml:space="preserve">Everything else after costs</t>
  </si>
  <si>
    <t xml:space="preserve">Value per share, JPY</t>
  </si>
  <si>
    <t xml:space="preserve">Change against the price</t>
  </si>
  <si>
    <t xml:space="preserve">Weighted against the price</t>
  </si>
  <si>
    <t xml:space="preserve">Sum of probabilities</t>
  </si>
  <si>
    <t xml:space="preserve">Base check: equals SOTP base value</t>
  </si>
  <si>
    <t xml:space="preserve">Everything except the film is valued at one multiple; Bio-Pharma Services (CDMO) is small enough that a separate multiple changes little.</t>
  </si>
  <si>
    <t xml:space="preserve">SENSITIVITY: FY2027E FILM SALES (56% MARGIN) AGAINST THE FILM MULTIPLE; EVERYTHING ELSE AT BASE</t>
  </si>
  <si>
    <t xml:space="preserve">Film sales FY2027E \ film multiple</t>
  </si>
  <si>
    <t xml:space="preserve">20x</t>
  </si>
  <si>
    <t xml:space="preserve">28x</t>
  </si>
  <si>
    <t xml:space="preserve">36x</t>
  </si>
  <si>
    <t xml:space="preserve">Cells above the price</t>
  </si>
  <si>
    <t xml:space="preserve">Cells 15% or more above the price</t>
  </si>
  <si>
    <t xml:space="preserve">Cells 25% or more below the price</t>
  </si>
  <si>
    <t xml:space="preserve">Centre cell check: equals base</t>
  </si>
  <si>
    <t xml:space="preserve">PEERS: EV / FORWARD OPERATING INCOME AND FORWARD P/E</t>
  </si>
  <si>
    <t xml:space="preserve">Company</t>
  </si>
  <si>
    <t xml:space="preserve">Listing</t>
  </si>
  <si>
    <t xml:space="preserve">Group</t>
  </si>
  <si>
    <t xml:space="preserve">EV (bn, local)</t>
  </si>
  <si>
    <t xml:space="preserve">Fwd op. income (bn)</t>
  </si>
  <si>
    <t xml:space="preserve">Year end</t>
  </si>
  <si>
    <t xml:space="preserve">EV / op. income</t>
  </si>
  <si>
    <t xml:space="preserve">Fwd EPS</t>
  </si>
  <si>
    <t xml:space="preserve">P/E</t>
  </si>
  <si>
    <t xml:space="preserve">What they make</t>
  </si>
  <si>
    <t xml:space="preserve">Kikkoman</t>
  </si>
  <si>
    <t xml:space="preserve">Tokyo: 2801</t>
  </si>
  <si>
    <t xml:space="preserve">Food</t>
  </si>
  <si>
    <t xml:space="preserve">Mar 2027</t>
  </si>
  <si>
    <t xml:space="preserve">Soy sauce, seasonings, Del Monte foods in Asia</t>
  </si>
  <si>
    <t xml:space="preserve">Nestle</t>
  </si>
  <si>
    <t xml:space="preserve">SIX: NESN</t>
  </si>
  <si>
    <t xml:space="preserve">Dec 2026</t>
  </si>
  <si>
    <t xml:space="preserve">Coffee, pet food, nutrition, confectionery</t>
  </si>
  <si>
    <t xml:space="preserve">Kraft Heinz</t>
  </si>
  <si>
    <t xml:space="preserve">Nasdaq: KHC</t>
  </si>
  <si>
    <t xml:space="preserve">n/m (GAAP loss)</t>
  </si>
  <si>
    <t xml:space="preserve">Sauces, cheese, packaged meals</t>
  </si>
  <si>
    <t xml:space="preserve">Resonac</t>
  </si>
  <si>
    <t xml:space="preserve">Tokyo: 4004</t>
  </si>
  <si>
    <t xml:space="preserve">Electronic materials</t>
  </si>
  <si>
    <t xml:space="preserve">Semiconductor materials, incl. packaging films and laminates</t>
  </si>
  <si>
    <t xml:space="preserve">Shin-Etsu Chemical</t>
  </si>
  <si>
    <t xml:space="preserve">Tokyo: 4063</t>
  </si>
  <si>
    <t xml:space="preserve">Silicon wafers, photoresists, PVC, silicones</t>
  </si>
  <si>
    <t xml:space="preserve">Entegris</t>
  </si>
  <si>
    <t xml:space="preserve">Nasdaq: ENTG</t>
  </si>
  <si>
    <t xml:space="preserve">Filters, process chemicals and materials for chipmaking</t>
  </si>
  <si>
    <t xml:space="preserve">Sekisui Chemical</t>
  </si>
  <si>
    <t xml:space="preserve">Tokyo: 4204</t>
  </si>
  <si>
    <t xml:space="preserve">Reference</t>
  </si>
  <si>
    <t xml:space="preserve">Diversified; makes rival build-up films</t>
  </si>
  <si>
    <t xml:space="preserve">Ajinomoto</t>
  </si>
  <si>
    <t xml:space="preserve">Tokyo: 2802</t>
  </si>
  <si>
    <t xml:space="preserve">Subject</t>
  </si>
  <si>
    <t xml:space="preserve">Seasonings, frozen foods, amino acids, CDMO, ABF film</t>
  </si>
  <si>
    <t xml:space="preserve">Food median EV / op. income</t>
  </si>
  <si>
    <t xml:space="preserve">Electronic materials median</t>
  </si>
  <si>
    <t xml:space="preserve">stockanalysis.com (S&amp;P Global consensus), retrieved 7 October 2026. EV = market value + debt - cash + non-controlling interests. Forward operating income = consensus for the fiscal year ending December 2026 or March 2027 (year ends differ by up to three months).</t>
  </si>
  <si>
    <t xml:space="preserve">Kraft Heinz, Nestle, Entegris in US$ or CHF; EV and operating income in the same currency, so the multiple needs no conversion. Entegris P/E uses adjusted consensus EPS of US$3.93 (61.1x on reported EPS); Kraft Heinz consensus is on reported (GAAP) figures. The electronic materials median rests on three names, so it equals Resonac.</t>
  </si>
  <si>
    <t xml:space="preserve">JSR, once a natural peer, was taken private by Japan Investment Corporation and delisted on 25 June 2024. Sekisui Chemical, a rival film maker, is shown for reference only: films are a small part of a diversified group.</t>
  </si>
  <si>
    <t xml:space="preserve">Multiples only; no view on the peers' shares.</t>
  </si>
  <si>
    <t xml:space="preserve">SHARE PRICE: MONTH-END CLOSE, SPLIT-ADJUSTED, JPY</t>
  </si>
  <si>
    <t xml:space="preserve">Month</t>
  </si>
  <si>
    <t xml:space="preserve">Close</t>
  </si>
  <si>
    <t xml:space="preserve">Oct 23</t>
  </si>
  <si>
    <t xml:space="preserve">Nov 23</t>
  </si>
  <si>
    <t xml:space="preserve">Dec 23</t>
  </si>
  <si>
    <t xml:space="preserve">Jan 24</t>
  </si>
  <si>
    <t xml:space="preserve">Feb 24</t>
  </si>
  <si>
    <t xml:space="preserve">Mar 24</t>
  </si>
  <si>
    <t xml:space="preserve">Apr 24</t>
  </si>
  <si>
    <t xml:space="preserve">May 24</t>
  </si>
  <si>
    <t xml:space="preserve">Jun 24</t>
  </si>
  <si>
    <t xml:space="preserve">Jul 24</t>
  </si>
  <si>
    <t xml:space="preserve">Aug 24</t>
  </si>
  <si>
    <t xml:space="preserve">Sep 24</t>
  </si>
  <si>
    <t xml:space="preserve">Oct 24</t>
  </si>
  <si>
    <t xml:space="preserve">Nov 24</t>
  </si>
  <si>
    <t xml:space="preserve">Dec 24</t>
  </si>
  <si>
    <t xml:space="preserve">Jan 25</t>
  </si>
  <si>
    <t xml:space="preserve">Feb 25</t>
  </si>
  <si>
    <t xml:space="preserve">Mar 25</t>
  </si>
  <si>
    <t xml:space="preserve">Apr 25</t>
  </si>
  <si>
    <t xml:space="preserve">May 25</t>
  </si>
  <si>
    <t xml:space="preserve">Jun 25</t>
  </si>
  <si>
    <t xml:space="preserve">Jul 25</t>
  </si>
  <si>
    <t xml:space="preserve">Aug 25</t>
  </si>
  <si>
    <t xml:space="preserve">Sep 25</t>
  </si>
  <si>
    <t xml:space="preserve">Oct 25</t>
  </si>
  <si>
    <t xml:space="preserve">Nov 25</t>
  </si>
  <si>
    <t xml:space="preserve">Dec 25</t>
  </si>
  <si>
    <t xml:space="preserve">Jan 26</t>
  </si>
  <si>
    <t xml:space="preserve">Feb 26</t>
  </si>
  <si>
    <t xml:space="preserve">Mar 26</t>
  </si>
  <si>
    <t xml:space="preserve">Apr 26</t>
  </si>
  <si>
    <t xml:space="preserve">May 26</t>
  </si>
  <si>
    <t xml:space="preserve">Jun 26</t>
  </si>
  <si>
    <t xml:space="preserve">Jul 26</t>
  </si>
  <si>
    <t xml:space="preserve">Aug 26</t>
  </si>
  <si>
    <t xml:space="preserve">Sep 26</t>
  </si>
  <si>
    <t xml:space="preserve">7 Oct 26</t>
  </si>
  <si>
    <t xml:space="preserve">stockanalysis.com history for TYO:2802, retrieved 7 October 2026. The last point is the close on 7 October 2026.</t>
  </si>
  <si>
    <t xml:space="preserve">SOURCES</t>
  </si>
  <si>
    <t xml:space="preserve">Ajinomoto Consolidated Financial Results (tanshin) for FY2025, 7 May 2026, and Q1 FY2026, 6 August 2026.</t>
  </si>
  <si>
    <t xml:space="preserve">Ajinomoto Consolidated Results data sheets: FY2022 (11 May 2023), FY2023 (9 May 2024), FY2024 (8 May 2025), H1 FY2025 (6 November 2025), 9M FY2025 (5 February 2026), FY2025 (7 May 2026), Q1 FY2026 (6 August 2026).</t>
  </si>
  <si>
    <t xml:space="preserve">Ajinomoto FY2026 Revised Forecast by Segment and Notice of Revision to Full-Year Forecast, 6 August 2026.</t>
  </si>
  <si>
    <t xml:space="preserve">Ajinomoto FY2025 results presentation with script, 7 May 2026; Q1 FY2026 presentation, 6 August 2026; ASV Report 2026 (integrated report).</t>
  </si>
  <si>
    <t xml:space="preserve">Ajinomoto notices on the repurchase of own shares, 2 July and 2 October 2026; Fine-Techno merger policy, 6 August 2026.</t>
  </si>
  <si>
    <t xml:space="preserve">Prices, consensus and peer data: stockanalysis.com (S&amp;P Global Market Intelligence), retrieved 7 October 2026.</t>
  </si>
  <si>
    <t xml:space="preserve">Palliser Capital value enhancement plan, 31 March 2026 (as reported). Reports of an ABF price rise: DigiTimes, 13 May 2026, citing Taiwanese substrate makers; not confirmed in Ajinomoto's own documents.</t>
  </si>
  <si>
    <t xml:space="preserve">All estimates marked MINE, and the valuation, are the author's own.</t>
  </si>
</sst>
</file>

<file path=xl/styles.xml><?xml version="1.0" encoding="utf-8"?>
<styleSheet xmlns="http://schemas.openxmlformats.org/spreadsheetml/2006/main">
  <numFmts count="9">
    <numFmt numFmtId="164" formatCode="General"/>
    <numFmt numFmtId="165" formatCode="&quot;JPY &quot;#,##0"/>
    <numFmt numFmtId="166" formatCode="0.0%"/>
    <numFmt numFmtId="167" formatCode="#,##0.00"/>
    <numFmt numFmtId="168" formatCode="#,##0.0"/>
    <numFmt numFmtId="169" formatCode="0.0\x"/>
    <numFmt numFmtId="170" formatCode="0%"/>
    <numFmt numFmtId="171" formatCode="0"/>
    <numFmt numFmtId="172" formatCode="#,##0.000"/>
  </numFmts>
  <fonts count="14">
    <font>
      <sz val="11"/>
      <color theme="1"/>
      <name val="Calibri"/>
      <family val="2"/>
      <charset val="1"/>
    </font>
    <font>
      <sz val="10"/>
      <name val="Arial"/>
      <family val="0"/>
    </font>
    <font>
      <sz val="10"/>
      <name val="Arial"/>
      <family val="0"/>
    </font>
    <font>
      <sz val="10"/>
      <name val="Arial"/>
      <family val="0"/>
    </font>
    <font>
      <b val="true"/>
      <sz val="12"/>
      <color rgb="FF1F3864"/>
      <name val="Cambria"/>
      <family val="0"/>
      <charset val="1"/>
    </font>
    <font>
      <sz val="9"/>
      <color rgb="FF595959"/>
      <name val="Cambria"/>
      <family val="0"/>
      <charset val="1"/>
    </font>
    <font>
      <b val="true"/>
      <sz val="10"/>
      <color rgb="FFFFFFFF"/>
      <name val="Cambria"/>
      <family val="0"/>
      <charset val="1"/>
    </font>
    <font>
      <b val="true"/>
      <sz val="11"/>
      <name val="Cambria"/>
      <family val="0"/>
      <charset val="1"/>
    </font>
    <font>
      <sz val="11"/>
      <color rgb="FF008000"/>
      <name val="Cambria"/>
      <family val="0"/>
      <charset val="1"/>
    </font>
    <font>
      <sz val="11"/>
      <color rgb="FF0000FF"/>
      <name val="Cambria"/>
      <family val="0"/>
      <charset val="1"/>
    </font>
    <font>
      <b val="true"/>
      <sz val="11"/>
      <color rgb="FF1F3864"/>
      <name val="Cambria"/>
      <family val="0"/>
      <charset val="1"/>
    </font>
    <font>
      <i val="true"/>
      <sz val="9"/>
      <color rgb="FF595959"/>
      <name val="Cambria"/>
      <family val="0"/>
      <charset val="1"/>
    </font>
    <font>
      <b val="true"/>
      <sz val="11"/>
      <color rgb="FF0000FF"/>
      <name val="Cambria"/>
      <family val="0"/>
      <charset val="1"/>
    </font>
    <font>
      <sz val="11"/>
      <name val="Cambria"/>
      <family val="0"/>
      <charset val="1"/>
    </font>
  </fonts>
  <fills count="5">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D9E2F3"/>
        <bgColor rgb="FFCC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left" vertical="center" textRotation="0" wrapText="true" indent="0" shrinkToFit="false"/>
      <protection locked="true" hidden="false"/>
    </xf>
    <xf numFmtId="164" fontId="6" fillId="2" borderId="0" xfId="0" applyFont="true" applyBorder="false" applyAlignment="true" applyProtection="false">
      <alignment horizontal="right"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right"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right" vertical="bottom" textRotation="0" wrapText="false" indent="0" shrinkToFit="false"/>
      <protection locked="true" hidden="false"/>
    </xf>
    <xf numFmtId="165" fontId="8" fillId="0" borderId="0" xfId="0" applyFont="true" applyBorder="false" applyAlignment="true" applyProtection="false">
      <alignment horizontal="right" vertical="bottom" textRotation="0" wrapText="false" indent="0" shrinkToFit="false"/>
      <protection locked="true" hidden="false"/>
    </xf>
    <xf numFmtId="166" fontId="8" fillId="0" borderId="0" xfId="0" applyFont="true" applyBorder="false" applyAlignment="true" applyProtection="false">
      <alignment horizontal="right"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8" fontId="12" fillId="3" borderId="0" xfId="0" applyFont="true" applyBorder="false" applyAlignment="false" applyProtection="false">
      <alignment horizontal="general" vertical="bottom" textRotation="0" wrapText="false" indent="0" shrinkToFit="false"/>
      <protection locked="true" hidden="false"/>
    </xf>
    <xf numFmtId="166" fontId="12" fillId="3" borderId="0" xfId="0" applyFont="true" applyBorder="false" applyAlignment="false" applyProtection="false">
      <alignment horizontal="general" vertical="bottom" textRotation="0" wrapText="false" indent="0" shrinkToFit="false"/>
      <protection locked="true" hidden="false"/>
    </xf>
    <xf numFmtId="167" fontId="12" fillId="3" borderId="0" xfId="0" applyFont="true" applyBorder="false" applyAlignment="false" applyProtection="false">
      <alignment horizontal="general" vertical="bottom" textRotation="0" wrapText="false" indent="0" shrinkToFit="false"/>
      <protection locked="true" hidden="false"/>
    </xf>
    <xf numFmtId="169" fontId="12" fillId="3"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right" vertical="bottom" textRotation="0" wrapText="false" indent="0" shrinkToFit="false"/>
      <protection locked="true" hidden="false"/>
    </xf>
    <xf numFmtId="168" fontId="8" fillId="0" borderId="0" xfId="0" applyFont="true" applyBorder="false" applyAlignment="true" applyProtection="false">
      <alignment horizontal="right" vertical="bottom" textRotation="0" wrapText="false" indent="0" shrinkToFit="false"/>
      <protection locked="true" hidden="false"/>
    </xf>
    <xf numFmtId="168" fontId="0" fillId="0" borderId="0" xfId="0" applyFont="false" applyBorder="false" applyAlignment="true" applyProtection="false">
      <alignment horizontal="right"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true" applyProtection="false">
      <alignment horizontal="right" vertical="bottom" textRotation="0" wrapText="false" indent="0" shrinkToFit="false"/>
      <protection locked="true" hidden="false"/>
    </xf>
    <xf numFmtId="168" fontId="7" fillId="0" borderId="0" xfId="0" applyFont="true" applyBorder="false" applyAlignment="true" applyProtection="false">
      <alignment horizontal="right" vertical="bottom" textRotation="0" wrapText="false" indent="0" shrinkToFit="false"/>
      <protection locked="true" hidden="false"/>
    </xf>
    <xf numFmtId="166" fontId="0" fillId="0" borderId="0" xfId="0" applyFont="false" applyBorder="false" applyAlignment="true" applyProtection="false">
      <alignment horizontal="right" vertical="bottom" textRotation="0" wrapText="false" indent="0" shrinkToFit="false"/>
      <protection locked="true" hidden="false"/>
    </xf>
    <xf numFmtId="167" fontId="7" fillId="0" borderId="0" xfId="0" applyFont="true" applyBorder="false" applyAlignment="true" applyProtection="false">
      <alignment horizontal="right" vertical="bottom" textRotation="0" wrapText="false" indent="0" shrinkToFit="false"/>
      <protection locked="true" hidden="false"/>
    </xf>
    <xf numFmtId="169" fontId="8" fillId="0" borderId="0" xfId="0" applyFont="true" applyBorder="false" applyAlignment="true" applyProtection="false">
      <alignment horizontal="right" vertical="bottom" textRotation="0" wrapText="false" indent="0" shrinkToFit="false"/>
      <protection locked="true" hidden="false"/>
    </xf>
    <xf numFmtId="165" fontId="7" fillId="4" borderId="0" xfId="0" applyFont="true" applyBorder="false" applyAlignment="true" applyProtection="false">
      <alignment horizontal="right" vertical="bottom" textRotation="0" wrapText="false" indent="0" shrinkToFit="false"/>
      <protection locked="true" hidden="false"/>
    </xf>
    <xf numFmtId="164" fontId="0" fillId="0" borderId="0" xfId="0" applyFont="false" applyBorder="false" applyAlignment="true" applyProtection="false">
      <alignment horizontal="right" vertical="bottom" textRotation="0" wrapText="false" indent="0" shrinkToFit="false"/>
      <protection locked="true" hidden="false"/>
    </xf>
    <xf numFmtId="164" fontId="12" fillId="0" borderId="0" xfId="0" applyFont="true" applyBorder="false" applyAlignment="true" applyProtection="false">
      <alignment horizontal="right" vertical="bottom" textRotation="0" wrapText="false" indent="0" shrinkToFit="false"/>
      <protection locked="true" hidden="false"/>
    </xf>
    <xf numFmtId="165" fontId="0" fillId="0" borderId="0" xfId="0" applyFont="false" applyBorder="false" applyAlignment="true" applyProtection="false">
      <alignment horizontal="right" vertical="bottom" textRotation="0" wrapText="false" indent="0" shrinkToFit="false"/>
      <protection locked="true" hidden="false"/>
    </xf>
    <xf numFmtId="169" fontId="0" fillId="0" borderId="0" xfId="0" applyFont="false" applyBorder="false" applyAlignment="true" applyProtection="false">
      <alignment horizontal="right" vertical="bottom" textRotation="0" wrapText="false" indent="0" shrinkToFit="false"/>
      <protection locked="true" hidden="false"/>
    </xf>
    <xf numFmtId="168" fontId="9" fillId="3" borderId="0" xfId="0" applyFont="true" applyBorder="false" applyAlignment="true" applyProtection="false">
      <alignment horizontal="right" vertical="bottom" textRotation="0" wrapText="false" indent="0" shrinkToFit="false"/>
      <protection locked="true" hidden="false"/>
    </xf>
    <xf numFmtId="166" fontId="9" fillId="3" borderId="0" xfId="0" applyFont="true" applyBorder="false" applyAlignment="true" applyProtection="false">
      <alignment horizontal="right" vertical="bottom" textRotation="0" wrapText="false" indent="0" shrinkToFit="false"/>
      <protection locked="true" hidden="false"/>
    </xf>
    <xf numFmtId="169" fontId="9" fillId="3" borderId="0" xfId="0" applyFont="true" applyBorder="false" applyAlignment="true" applyProtection="false">
      <alignment horizontal="right" vertical="bottom" textRotation="0" wrapText="false" indent="0" shrinkToFit="false"/>
      <protection locked="true" hidden="false"/>
    </xf>
    <xf numFmtId="170" fontId="9" fillId="3" borderId="0" xfId="0" applyFont="true" applyBorder="false" applyAlignment="true" applyProtection="false">
      <alignment horizontal="right" vertical="bottom" textRotation="0" wrapText="false" indent="0" shrinkToFit="false"/>
      <protection locked="true" hidden="false"/>
    </xf>
    <xf numFmtId="165" fontId="7" fillId="0" borderId="0" xfId="0" applyFont="true" applyBorder="false" applyAlignment="true" applyProtection="false">
      <alignment horizontal="right" vertical="bottom" textRotation="0" wrapText="false" indent="0" shrinkToFit="false"/>
      <protection locked="true" hidden="false"/>
    </xf>
    <xf numFmtId="170" fontId="0" fillId="0" borderId="0" xfId="0" applyFont="false" applyBorder="false" applyAlignment="true" applyProtection="false">
      <alignment horizontal="right" vertical="bottom" textRotation="0" wrapText="false" indent="0" shrinkToFit="false"/>
      <protection locked="true" hidden="false"/>
    </xf>
    <xf numFmtId="167" fontId="0" fillId="0" borderId="0" xfId="0" applyFont="false" applyBorder="false" applyAlignment="true" applyProtection="false">
      <alignment horizontal="right" vertical="bottom" textRotation="0" wrapText="false" indent="0" shrinkToFit="false"/>
      <protection locked="true" hidden="false"/>
    </xf>
    <xf numFmtId="171" fontId="0" fillId="0" borderId="0" xfId="0" applyFont="false" applyBorder="false" applyAlignment="true" applyProtection="false">
      <alignment horizontal="right" vertical="bottom" textRotation="0" wrapText="false" indent="0" shrinkToFit="false"/>
      <protection locked="true" hidden="false"/>
    </xf>
    <xf numFmtId="172" fontId="9" fillId="0" borderId="0" xfId="0" applyFont="true" applyBorder="false" applyAlignment="true" applyProtection="false">
      <alignment horizontal="right" vertical="bottom" textRotation="0" wrapText="false" indent="0" shrinkToFit="false"/>
      <protection locked="true" hidden="false"/>
    </xf>
    <xf numFmtId="167" fontId="9" fillId="0" borderId="0" xfId="0" applyFont="true" applyBorder="false" applyAlignment="true" applyProtection="false">
      <alignment horizontal="right" vertical="bottom" textRotation="0" wrapText="false" indent="0" shrinkToFit="false"/>
      <protection locked="true" hidden="false"/>
    </xf>
    <xf numFmtId="172" fontId="8" fillId="0" borderId="0" xfId="0" applyFont="true" applyBorder="false" applyAlignment="true" applyProtection="false">
      <alignment horizontal="right" vertical="bottom" textRotation="0" wrapText="false" indent="0" shrinkToFit="false"/>
      <protection locked="true" hidden="false"/>
    </xf>
    <xf numFmtId="169" fontId="7"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2"/>
    <col collapsed="false" customWidth="true" hidden="false" outlineLevel="0" max="2" min="2" style="0" width="26"/>
    <col collapsed="false" customWidth="true" hidden="false" outlineLevel="0" max="3" min="3" style="0" width="90"/>
  </cols>
  <sheetData>
    <row r="1" customFormat="false" ht="1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t="s">
        <v>3</v>
      </c>
      <c r="C4" s="4" t="s">
        <v>4</v>
      </c>
    </row>
    <row r="5" customFormat="false" ht="15" hidden="false" customHeight="false" outlineLevel="0" collapsed="false">
      <c r="A5" s="5" t="s">
        <v>5</v>
      </c>
      <c r="B5" s="6" t="str">
        <f aca="false">SOTP!B21</f>
        <v>NO CALL</v>
      </c>
      <c r="C5" s="7" t="s">
        <v>6</v>
      </c>
    </row>
    <row r="6" customFormat="false" ht="15" hidden="false" customHeight="false" outlineLevel="0" collapsed="false">
      <c r="A6" s="5" t="s">
        <v>7</v>
      </c>
      <c r="B6" s="8" t="s">
        <v>8</v>
      </c>
      <c r="C6" s="7"/>
    </row>
    <row r="7" customFormat="false" ht="15" hidden="false" customHeight="false" outlineLevel="0" collapsed="false">
      <c r="A7" s="5" t="s">
        <v>9</v>
      </c>
      <c r="B7" s="8" t="s">
        <v>10</v>
      </c>
      <c r="C7" s="7" t="s">
        <v>11</v>
      </c>
    </row>
    <row r="8" customFormat="false" ht="15" hidden="false" customHeight="false" outlineLevel="0" collapsed="false">
      <c r="A8" s="5" t="s">
        <v>12</v>
      </c>
      <c r="B8" s="9" t="n">
        <f aca="false">Assumptions!$B$7</f>
        <v>5346</v>
      </c>
      <c r="C8" s="7" t="s">
        <v>13</v>
      </c>
    </row>
    <row r="9" customFormat="false" ht="15" hidden="false" customHeight="false" outlineLevel="0" collapsed="false">
      <c r="A9" s="5" t="s">
        <v>14</v>
      </c>
      <c r="B9" s="9" t="n">
        <f aca="false">SOTP!B18</f>
        <v>4369.00320909982</v>
      </c>
      <c r="C9" s="7" t="s">
        <v>15</v>
      </c>
    </row>
    <row r="10" customFormat="false" ht="15" hidden="false" customHeight="false" outlineLevel="0" collapsed="false">
      <c r="A10" s="5" t="s">
        <v>16</v>
      </c>
      <c r="B10" s="10" t="n">
        <f aca="false">SOTP!B19</f>
        <v>-0.182752860250688</v>
      </c>
      <c r="C10" s="7"/>
    </row>
    <row r="11" customFormat="false" ht="15" hidden="false" customHeight="false" outlineLevel="0" collapsed="false">
      <c r="A11" s="5" t="s">
        <v>17</v>
      </c>
      <c r="B11" s="9" t="n">
        <f aca="false">Scenarios!B20</f>
        <v>4449.87805999662</v>
      </c>
      <c r="C11" s="7" t="s">
        <v>18</v>
      </c>
    </row>
    <row r="12" customFormat="false" ht="15" hidden="false" customHeight="false" outlineLevel="0" collapsed="false">
      <c r="A12" s="5" t="s">
        <v>19</v>
      </c>
      <c r="B12" s="9" t="n">
        <f aca="false">SOTP!B27</f>
        <v>3928.63545590208</v>
      </c>
      <c r="C12" s="7" t="s">
        <v>20</v>
      </c>
    </row>
    <row r="13" customFormat="false" ht="15" hidden="false" customHeight="false" outlineLevel="0" collapsed="false">
      <c r="A13" s="5" t="s">
        <v>21</v>
      </c>
      <c r="B13" s="6" t="str">
        <f aca="false">TEXT(SOTP!B24,"0%")&amp;" / "&amp;TEXT(SOTP!B35,"0%")</f>
        <v>49% / 57%</v>
      </c>
      <c r="C13" s="7"/>
    </row>
    <row r="14" customFormat="false" ht="15" hidden="false" customHeight="false" outlineLevel="0" collapsed="false">
      <c r="A14" s="5" t="s">
        <v>22</v>
      </c>
      <c r="B14" s="6" t="str">
        <f aca="false">TEXT(History!C28,"0.0%")&amp;" / "&amp;TEXT(History!C29,"0.0%")</f>
        <v>6.4% / 24.4%</v>
      </c>
      <c r="C14" s="7" t="s">
        <v>23</v>
      </c>
    </row>
    <row r="15" customFormat="false" ht="15" hidden="false" customHeight="false" outlineLevel="0" collapsed="false">
      <c r="A15" s="5" t="s">
        <v>24</v>
      </c>
      <c r="B15" s="6" t="str">
        <f aca="false">TEXT(Forecast!C21,"0.0")&amp;" / "&amp;TEXT(Forecast!D21,"0.0")</f>
        <v>135.1 / 150.5</v>
      </c>
      <c r="C15" s="7" t="s">
        <v>25</v>
      </c>
    </row>
    <row r="16" customFormat="false" ht="15" hidden="false" customHeight="false" outlineLevel="0" collapsed="false">
      <c r="A16" s="5" t="s">
        <v>26</v>
      </c>
      <c r="B16" s="8" t="s">
        <v>27</v>
      </c>
      <c r="C16" s="7"/>
    </row>
    <row r="19" customFormat="false" ht="15" hidden="false" customHeight="false" outlineLevel="0" collapsed="false">
      <c r="A19" s="11" t="s">
        <v>28</v>
      </c>
    </row>
    <row r="20" customFormat="false" ht="15" hidden="false" customHeight="false" outlineLevel="0" collapsed="false">
      <c r="A20" s="5" t="s">
        <v>29</v>
      </c>
      <c r="B20" s="0" t="s">
        <v>30</v>
      </c>
    </row>
    <row r="21" customFormat="false" ht="15" hidden="false" customHeight="false" outlineLevel="0" collapsed="false">
      <c r="A21" s="5" t="s">
        <v>31</v>
      </c>
      <c r="B21" s="0" t="s">
        <v>32</v>
      </c>
    </row>
    <row r="22" customFormat="false" ht="15" hidden="false" customHeight="false" outlineLevel="0" collapsed="false">
      <c r="A22" s="5" t="s">
        <v>33</v>
      </c>
      <c r="B22" s="0" t="s">
        <v>34</v>
      </c>
    </row>
    <row r="23" customFormat="false" ht="15" hidden="false" customHeight="false" outlineLevel="0" collapsed="false">
      <c r="A23" s="5" t="s">
        <v>35</v>
      </c>
      <c r="B23" s="0" t="s">
        <v>36</v>
      </c>
    </row>
    <row r="24" customFormat="false" ht="15" hidden="false" customHeight="false" outlineLevel="0" collapsed="false">
      <c r="A24" s="5" t="s">
        <v>37</v>
      </c>
      <c r="B24" s="0" t="s">
        <v>38</v>
      </c>
    </row>
    <row r="25" customFormat="false" ht="15" hidden="false" customHeight="false" outlineLevel="0" collapsed="false">
      <c r="A25" s="5" t="s">
        <v>39</v>
      </c>
      <c r="B25" s="0" t="s">
        <v>40</v>
      </c>
    </row>
    <row r="26" customFormat="false" ht="15" hidden="false" customHeight="false" outlineLevel="0" collapsed="false">
      <c r="A26" s="5" t="s">
        <v>41</v>
      </c>
      <c r="B26" s="0" t="s">
        <v>42</v>
      </c>
    </row>
    <row r="27" customFormat="false" ht="15" hidden="false" customHeight="false" outlineLevel="0" collapsed="false">
      <c r="A27" s="5" t="s">
        <v>43</v>
      </c>
      <c r="B27" s="0" t="s">
        <v>44</v>
      </c>
    </row>
    <row r="28" customFormat="false" ht="15" hidden="false" customHeight="false" outlineLevel="0" collapsed="false">
      <c r="A28" s="5" t="s">
        <v>45</v>
      </c>
      <c r="B28" s="0" t="s">
        <v>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66"/>
    <col collapsed="false" customWidth="true" hidden="false" outlineLevel="0" max="2" min="2" style="0" width="14"/>
    <col collapsed="false" customWidth="true" hidden="false" outlineLevel="0" max="3" min="3" style="0" width="10"/>
    <col collapsed="false" customWidth="true" hidden="false" outlineLevel="0" max="4" min="4" style="0" width="100"/>
  </cols>
  <sheetData>
    <row r="1" customFormat="false" ht="15" hidden="false" customHeight="false" outlineLevel="0" collapsed="false">
      <c r="A1" s="1" t="s">
        <v>47</v>
      </c>
    </row>
    <row r="2" customFormat="false" ht="15" hidden="false" customHeight="false" outlineLevel="0" collapsed="false">
      <c r="A2" s="2" t="s">
        <v>1</v>
      </c>
    </row>
    <row r="3" customFormat="false" ht="15" hidden="false" customHeight="false" outlineLevel="0" collapsed="false">
      <c r="A3" s="12" t="s">
        <v>48</v>
      </c>
    </row>
    <row r="5" customFormat="false" ht="15" hidden="false" customHeight="false" outlineLevel="0" collapsed="false">
      <c r="A5" s="3" t="s">
        <v>49</v>
      </c>
      <c r="B5" s="4" t="s">
        <v>3</v>
      </c>
      <c r="C5" s="4" t="s">
        <v>50</v>
      </c>
      <c r="D5" s="4" t="s">
        <v>51</v>
      </c>
    </row>
    <row r="6" customFormat="false" ht="15" hidden="false" customHeight="false" outlineLevel="0" collapsed="false">
      <c r="A6" s="11" t="s">
        <v>52</v>
      </c>
    </row>
    <row r="7" customFormat="false" ht="15" hidden="false" customHeight="false" outlineLevel="0" collapsed="false">
      <c r="A7" s="0" t="s">
        <v>53</v>
      </c>
      <c r="B7" s="13" t="n">
        <v>5346</v>
      </c>
      <c r="C7" s="0" t="s">
        <v>54</v>
      </c>
      <c r="D7" s="7" t="s">
        <v>55</v>
      </c>
    </row>
    <row r="8" customFormat="false" ht="15" hidden="false" customHeight="false" outlineLevel="0" collapsed="false">
      <c r="A8" s="0" t="s">
        <v>56</v>
      </c>
      <c r="B8" s="13" t="n">
        <v>6175</v>
      </c>
      <c r="C8" s="0" t="s">
        <v>54</v>
      </c>
      <c r="D8" s="7" t="s">
        <v>57</v>
      </c>
    </row>
    <row r="9" customFormat="false" ht="15" hidden="false" customHeight="false" outlineLevel="0" collapsed="false">
      <c r="A9" s="0" t="s">
        <v>58</v>
      </c>
      <c r="B9" s="13" t="n">
        <v>3300</v>
      </c>
      <c r="C9" s="0" t="s">
        <v>54</v>
      </c>
      <c r="D9" s="7" t="s">
        <v>59</v>
      </c>
    </row>
    <row r="10" customFormat="false" ht="15" hidden="false" customHeight="false" outlineLevel="0" collapsed="false">
      <c r="A10" s="0" t="s">
        <v>60</v>
      </c>
      <c r="B10" s="13" t="n">
        <v>3317</v>
      </c>
      <c r="C10" s="0" t="s">
        <v>54</v>
      </c>
      <c r="D10" s="7" t="s">
        <v>61</v>
      </c>
    </row>
    <row r="11" customFormat="false" ht="15" hidden="false" customHeight="false" outlineLevel="0" collapsed="false">
      <c r="A11" s="0" t="s">
        <v>62</v>
      </c>
      <c r="B11" s="13" t="n">
        <v>2958.5</v>
      </c>
      <c r="C11" s="0" t="s">
        <v>54</v>
      </c>
      <c r="D11" s="7" t="s">
        <v>63</v>
      </c>
    </row>
    <row r="12" customFormat="false" ht="15" hidden="false" customHeight="false" outlineLevel="0" collapsed="false">
      <c r="A12" s="0" t="s">
        <v>64</v>
      </c>
      <c r="B12" s="13" t="n">
        <v>954.561741</v>
      </c>
      <c r="C12" s="0" t="s">
        <v>65</v>
      </c>
      <c r="D12" s="7" t="s">
        <v>66</v>
      </c>
    </row>
    <row r="13" customFormat="false" ht="15" hidden="false" customHeight="false" outlineLevel="0" collapsed="false">
      <c r="A13" s="0" t="s">
        <v>67</v>
      </c>
      <c r="B13" s="13" t="n">
        <v>3.6368</v>
      </c>
      <c r="C13" s="0" t="s">
        <v>65</v>
      </c>
      <c r="D13" s="7" t="s">
        <v>68</v>
      </c>
    </row>
    <row r="14" customFormat="false" ht="15" hidden="false" customHeight="false" outlineLevel="0" collapsed="false">
      <c r="A14" s="0" t="s">
        <v>69</v>
      </c>
      <c r="B14" s="13" t="n">
        <v>146.08</v>
      </c>
      <c r="C14" s="0" t="s">
        <v>54</v>
      </c>
      <c r="D14" s="7" t="s">
        <v>70</v>
      </c>
    </row>
    <row r="15" customFormat="false" ht="15" hidden="false" customHeight="false" outlineLevel="0" collapsed="false">
      <c r="A15" s="0" t="s">
        <v>71</v>
      </c>
      <c r="B15" s="14" t="n">
        <v>206.59</v>
      </c>
      <c r="C15" s="0" t="s">
        <v>72</v>
      </c>
      <c r="D15" s="7" t="s">
        <v>73</v>
      </c>
    </row>
    <row r="16" customFormat="false" ht="15" hidden="false" customHeight="false" outlineLevel="0" collapsed="false">
      <c r="A16" s="0" t="s">
        <v>74</v>
      </c>
      <c r="B16" s="13" t="n">
        <v>6321</v>
      </c>
      <c r="C16" s="0" t="s">
        <v>54</v>
      </c>
      <c r="D16" s="7" t="s">
        <v>75</v>
      </c>
    </row>
    <row r="17" customFormat="false" ht="15" hidden="false" customHeight="false" outlineLevel="0" collapsed="false">
      <c r="A17" s="0" t="s">
        <v>76</v>
      </c>
      <c r="B17" s="14" t="n">
        <v>5541.872</v>
      </c>
      <c r="C17" s="0" t="s">
        <v>72</v>
      </c>
      <c r="D17" s="7" t="s">
        <v>77</v>
      </c>
    </row>
    <row r="18" customFormat="false" ht="15" hidden="false" customHeight="false" outlineLevel="0" collapsed="false">
      <c r="A18" s="11" t="s">
        <v>78</v>
      </c>
    </row>
    <row r="19" customFormat="false" ht="15" hidden="false" customHeight="false" outlineLevel="0" collapsed="false">
      <c r="A19" s="0" t="s">
        <v>79</v>
      </c>
      <c r="B19" s="14" t="n">
        <v>196.979</v>
      </c>
      <c r="C19" s="0" t="s">
        <v>72</v>
      </c>
      <c r="D19" s="7"/>
    </row>
    <row r="20" customFormat="false" ht="15" hidden="false" customHeight="false" outlineLevel="0" collapsed="false">
      <c r="A20" s="0" t="s">
        <v>80</v>
      </c>
      <c r="B20" s="14" t="n">
        <v>561.919</v>
      </c>
      <c r="C20" s="0" t="s">
        <v>72</v>
      </c>
      <c r="D20" s="7" t="s">
        <v>81</v>
      </c>
    </row>
    <row r="21" customFormat="false" ht="15" hidden="false" customHeight="false" outlineLevel="0" collapsed="false">
      <c r="A21" s="0" t="s">
        <v>82</v>
      </c>
      <c r="B21" s="14" t="n">
        <v>73.845</v>
      </c>
      <c r="C21" s="0" t="s">
        <v>72</v>
      </c>
      <c r="D21" s="7" t="s">
        <v>83</v>
      </c>
    </row>
    <row r="22" customFormat="false" ht="15" hidden="false" customHeight="false" outlineLevel="0" collapsed="false">
      <c r="A22" s="11" t="s">
        <v>84</v>
      </c>
    </row>
    <row r="23" customFormat="false" ht="15" hidden="false" customHeight="false" outlineLevel="0" collapsed="false">
      <c r="A23" s="0" t="s">
        <v>85</v>
      </c>
      <c r="B23" s="14" t="n">
        <v>158</v>
      </c>
      <c r="C23" s="0" t="s">
        <v>72</v>
      </c>
      <c r="D23" s="7" t="s">
        <v>86</v>
      </c>
    </row>
    <row r="24" customFormat="false" ht="15" hidden="false" customHeight="false" outlineLevel="0" collapsed="false">
      <c r="A24" s="0" t="s">
        <v>87</v>
      </c>
      <c r="B24" s="14" t="n">
        <v>1309.2</v>
      </c>
      <c r="C24" s="0" t="s">
        <v>72</v>
      </c>
      <c r="D24" s="7" t="s">
        <v>88</v>
      </c>
    </row>
    <row r="25" customFormat="false" ht="15" hidden="false" customHeight="false" outlineLevel="0" collapsed="false">
      <c r="A25" s="0" t="s">
        <v>89</v>
      </c>
      <c r="B25" s="14" t="n">
        <v>286.1</v>
      </c>
      <c r="C25" s="0" t="s">
        <v>72</v>
      </c>
      <c r="D25" s="7" t="s">
        <v>90</v>
      </c>
    </row>
    <row r="26" customFormat="false" ht="15" hidden="false" customHeight="false" outlineLevel="0" collapsed="false">
      <c r="A26" s="0" t="s">
        <v>91</v>
      </c>
      <c r="B26" s="14" t="n">
        <v>15.8</v>
      </c>
      <c r="C26" s="0" t="s">
        <v>72</v>
      </c>
      <c r="D26" s="7"/>
    </row>
    <row r="27" customFormat="false" ht="15" hidden="false" customHeight="false" outlineLevel="0" collapsed="false">
      <c r="A27" s="0" t="s">
        <v>92</v>
      </c>
      <c r="B27" s="14" t="n">
        <v>120.6</v>
      </c>
      <c r="C27" s="0" t="s">
        <v>72</v>
      </c>
      <c r="D27" s="7" t="s">
        <v>93</v>
      </c>
    </row>
    <row r="28" customFormat="false" ht="15" hidden="false" customHeight="false" outlineLevel="0" collapsed="false">
      <c r="A28" s="0" t="s">
        <v>94</v>
      </c>
      <c r="B28" s="14" t="n">
        <v>65.5</v>
      </c>
      <c r="C28" s="0" t="s">
        <v>72</v>
      </c>
      <c r="D28" s="7" t="s">
        <v>95</v>
      </c>
    </row>
    <row r="29" customFormat="false" ht="15" hidden="false" customHeight="false" outlineLevel="0" collapsed="false">
      <c r="A29" s="0" t="s">
        <v>96</v>
      </c>
      <c r="B29" s="14" t="n">
        <v>17</v>
      </c>
      <c r="C29" s="0" t="s">
        <v>72</v>
      </c>
      <c r="D29" s="7" t="s">
        <v>97</v>
      </c>
    </row>
    <row r="30" customFormat="false" ht="15" hidden="false" customHeight="false" outlineLevel="0" collapsed="false">
      <c r="A30" s="0" t="s">
        <v>98</v>
      </c>
      <c r="B30" s="14" t="n">
        <v>2.4</v>
      </c>
      <c r="C30" s="0" t="s">
        <v>72</v>
      </c>
      <c r="D30" s="7" t="s">
        <v>97</v>
      </c>
    </row>
    <row r="31" customFormat="false" ht="15" hidden="false" customHeight="false" outlineLevel="0" collapsed="false">
      <c r="A31" s="0" t="s">
        <v>99</v>
      </c>
      <c r="B31" s="14" t="n">
        <v>5.1</v>
      </c>
      <c r="C31" s="0" t="s">
        <v>72</v>
      </c>
      <c r="D31" s="7" t="s">
        <v>97</v>
      </c>
    </row>
    <row r="32" customFormat="false" ht="15" hidden="false" customHeight="false" outlineLevel="0" collapsed="false">
      <c r="A32" s="0" t="s">
        <v>100</v>
      </c>
      <c r="B32" s="14" t="n">
        <v>-46.2</v>
      </c>
      <c r="C32" s="0" t="s">
        <v>72</v>
      </c>
      <c r="D32" s="7" t="s">
        <v>97</v>
      </c>
    </row>
    <row r="33" customFormat="false" ht="15" hidden="false" customHeight="false" outlineLevel="0" collapsed="false">
      <c r="A33" s="0" t="s">
        <v>101</v>
      </c>
      <c r="B33" s="14" t="n">
        <v>-4</v>
      </c>
      <c r="C33" s="0" t="s">
        <v>72</v>
      </c>
      <c r="D33" s="7" t="s">
        <v>102</v>
      </c>
    </row>
    <row r="34" customFormat="false" ht="15" hidden="false" customHeight="false" outlineLevel="0" collapsed="false">
      <c r="A34" s="11" t="s">
        <v>103</v>
      </c>
    </row>
    <row r="35" customFormat="false" ht="15" hidden="false" customHeight="false" outlineLevel="0" collapsed="false">
      <c r="A35" s="0" t="s">
        <v>104</v>
      </c>
      <c r="B35" s="15" t="n">
        <v>130</v>
      </c>
      <c r="C35" s="0" t="s">
        <v>72</v>
      </c>
      <c r="D35" s="7" t="s">
        <v>105</v>
      </c>
    </row>
    <row r="36" customFormat="false" ht="15" hidden="false" customHeight="false" outlineLevel="0" collapsed="false">
      <c r="A36" s="0" t="s">
        <v>106</v>
      </c>
      <c r="B36" s="15" t="n">
        <v>152</v>
      </c>
      <c r="C36" s="0" t="s">
        <v>72</v>
      </c>
      <c r="D36" s="7" t="s">
        <v>107</v>
      </c>
    </row>
    <row r="37" customFormat="false" ht="15" hidden="false" customHeight="false" outlineLevel="0" collapsed="false">
      <c r="A37" s="0" t="s">
        <v>108</v>
      </c>
      <c r="B37" s="16" t="n">
        <v>0.56</v>
      </c>
      <c r="C37" s="0" t="s">
        <v>109</v>
      </c>
      <c r="D37" s="7" t="s">
        <v>110</v>
      </c>
    </row>
    <row r="38" customFormat="false" ht="15" hidden="false" customHeight="false" outlineLevel="0" collapsed="false">
      <c r="A38" s="0" t="s">
        <v>111</v>
      </c>
      <c r="B38" s="16" t="n">
        <v>0.56</v>
      </c>
      <c r="C38" s="0" t="s">
        <v>109</v>
      </c>
      <c r="D38" s="7" t="s">
        <v>112</v>
      </c>
    </row>
    <row r="39" customFormat="false" ht="15" hidden="false" customHeight="false" outlineLevel="0" collapsed="false">
      <c r="A39" s="0" t="s">
        <v>113</v>
      </c>
      <c r="B39" s="16" t="n">
        <v>0.04</v>
      </c>
      <c r="C39" s="0" t="s">
        <v>109</v>
      </c>
      <c r="D39" s="7" t="s">
        <v>114</v>
      </c>
    </row>
    <row r="40" customFormat="false" ht="15" hidden="false" customHeight="false" outlineLevel="0" collapsed="false">
      <c r="A40" s="0" t="s">
        <v>115</v>
      </c>
      <c r="B40" s="16" t="n">
        <v>0.04</v>
      </c>
      <c r="C40" s="0" t="s">
        <v>109</v>
      </c>
      <c r="D40" s="7" t="s">
        <v>112</v>
      </c>
    </row>
    <row r="41" customFormat="false" ht="15" hidden="false" customHeight="false" outlineLevel="0" collapsed="false">
      <c r="A41" s="0" t="s">
        <v>116</v>
      </c>
      <c r="B41" s="16" t="n">
        <v>0.06</v>
      </c>
      <c r="C41" s="0" t="s">
        <v>109</v>
      </c>
      <c r="D41" s="7" t="s">
        <v>112</v>
      </c>
    </row>
    <row r="42" customFormat="false" ht="15" hidden="false" customHeight="false" outlineLevel="0" collapsed="false">
      <c r="A42" s="0" t="s">
        <v>117</v>
      </c>
      <c r="B42" s="15" t="n">
        <v>20</v>
      </c>
      <c r="C42" s="0" t="s">
        <v>72</v>
      </c>
      <c r="D42" s="7" t="s">
        <v>112</v>
      </c>
    </row>
    <row r="43" customFormat="false" ht="15" hidden="false" customHeight="false" outlineLevel="0" collapsed="false">
      <c r="A43" s="0" t="s">
        <v>118</v>
      </c>
      <c r="B43" s="15" t="n">
        <v>2.5</v>
      </c>
      <c r="C43" s="0" t="s">
        <v>72</v>
      </c>
      <c r="D43" s="7" t="s">
        <v>112</v>
      </c>
    </row>
    <row r="44" customFormat="false" ht="15" hidden="false" customHeight="false" outlineLevel="0" collapsed="false">
      <c r="A44" s="0" t="s">
        <v>119</v>
      </c>
      <c r="B44" s="15" t="n">
        <v>5</v>
      </c>
      <c r="C44" s="0" t="s">
        <v>72</v>
      </c>
      <c r="D44" s="7" t="s">
        <v>112</v>
      </c>
    </row>
    <row r="45" customFormat="false" ht="15" hidden="false" customHeight="false" outlineLevel="0" collapsed="false">
      <c r="A45" s="0" t="s">
        <v>120</v>
      </c>
      <c r="B45" s="15" t="n">
        <v>-48</v>
      </c>
      <c r="C45" s="0" t="s">
        <v>72</v>
      </c>
      <c r="D45" s="7" t="s">
        <v>112</v>
      </c>
    </row>
    <row r="46" customFormat="false" ht="15" hidden="false" customHeight="false" outlineLevel="0" collapsed="false">
      <c r="A46" s="0" t="s">
        <v>121</v>
      </c>
      <c r="B46" s="15" t="n">
        <v>-17.8</v>
      </c>
      <c r="C46" s="0" t="s">
        <v>72</v>
      </c>
      <c r="D46" s="7" t="s">
        <v>122</v>
      </c>
    </row>
    <row r="47" customFormat="false" ht="15" hidden="false" customHeight="false" outlineLevel="0" collapsed="false">
      <c r="A47" s="0" t="s">
        <v>123</v>
      </c>
      <c r="B47" s="15" t="n">
        <v>-18</v>
      </c>
      <c r="C47" s="0" t="s">
        <v>72</v>
      </c>
      <c r="D47" s="7" t="s">
        <v>112</v>
      </c>
    </row>
    <row r="48" customFormat="false" ht="15" hidden="false" customHeight="false" outlineLevel="0" collapsed="false">
      <c r="A48" s="0" t="s">
        <v>124</v>
      </c>
      <c r="B48" s="16" t="n">
        <v>0.26</v>
      </c>
      <c r="C48" s="0" t="s">
        <v>109</v>
      </c>
      <c r="D48" s="7" t="s">
        <v>125</v>
      </c>
    </row>
    <row r="49" customFormat="false" ht="15" hidden="false" customHeight="false" outlineLevel="0" collapsed="false">
      <c r="A49" s="0" t="s">
        <v>126</v>
      </c>
      <c r="B49" s="15" t="n">
        <v>10</v>
      </c>
      <c r="C49" s="0" t="s">
        <v>72</v>
      </c>
      <c r="D49" s="7" t="s">
        <v>127</v>
      </c>
    </row>
    <row r="50" customFormat="false" ht="15" hidden="false" customHeight="false" outlineLevel="0" collapsed="false">
      <c r="A50" s="0" t="s">
        <v>128</v>
      </c>
      <c r="B50" s="15" t="n">
        <v>10.5</v>
      </c>
      <c r="C50" s="0" t="s">
        <v>72</v>
      </c>
      <c r="D50" s="7" t="s">
        <v>112</v>
      </c>
    </row>
    <row r="51" customFormat="false" ht="15" hidden="false" customHeight="false" outlineLevel="0" collapsed="false">
      <c r="A51" s="0" t="s">
        <v>129</v>
      </c>
      <c r="B51" s="17" t="n">
        <v>952</v>
      </c>
      <c r="C51" s="0" t="s">
        <v>65</v>
      </c>
      <c r="D51" s="7" t="s">
        <v>130</v>
      </c>
    </row>
    <row r="52" customFormat="false" ht="15" hidden="false" customHeight="false" outlineLevel="0" collapsed="false">
      <c r="A52" s="0" t="s">
        <v>131</v>
      </c>
      <c r="B52" s="17" t="n">
        <v>948</v>
      </c>
      <c r="C52" s="0" t="s">
        <v>65</v>
      </c>
      <c r="D52" s="7" t="s">
        <v>112</v>
      </c>
    </row>
    <row r="53" customFormat="false" ht="15" hidden="false" customHeight="false" outlineLevel="0" collapsed="false">
      <c r="A53" s="0" t="s">
        <v>132</v>
      </c>
      <c r="B53" s="18" t="n">
        <v>18</v>
      </c>
      <c r="C53" s="0" t="s">
        <v>133</v>
      </c>
      <c r="D53" s="7" t="s">
        <v>134</v>
      </c>
    </row>
    <row r="54" customFormat="false" ht="15" hidden="false" customHeight="false" outlineLevel="0" collapsed="false">
      <c r="A54" s="0" t="s">
        <v>135</v>
      </c>
      <c r="B54" s="18" t="n">
        <v>28</v>
      </c>
      <c r="C54" s="0" t="s">
        <v>133</v>
      </c>
      <c r="D54" s="7" t="s">
        <v>136</v>
      </c>
    </row>
    <row r="56" customFormat="false" ht="15" hidden="false" customHeight="false" outlineLevel="0" collapsed="false">
      <c r="A56" s="11" t="s">
        <v>137</v>
      </c>
    </row>
    <row r="57" customFormat="false" ht="15" hidden="false" customHeight="false" outlineLevel="0" collapsed="false">
      <c r="A57" s="0" t="s">
        <v>138</v>
      </c>
      <c r="B57" s="19" t="n">
        <f aca="false">Assumptions!$B$12-Assumptions!$B$13</f>
        <v>950.924941</v>
      </c>
    </row>
    <row r="58" customFormat="false" ht="15" hidden="false" customHeight="false" outlineLevel="0" collapsed="false">
      <c r="A58" s="0" t="s">
        <v>139</v>
      </c>
      <c r="B58" s="20" t="n">
        <f aca="false">Assumptions!$B$20-Assumptions!$B$19</f>
        <v>364.94</v>
      </c>
    </row>
    <row r="59" customFormat="false" ht="15" hidden="false" customHeight="false" outlineLevel="0" collapsed="false">
      <c r="A59" s="0" t="s">
        <v>140</v>
      </c>
      <c r="B59" s="20" t="n">
        <f aca="false">Assumptions!$B$7*B57/1000</f>
        <v>5083.644734586</v>
      </c>
    </row>
    <row r="60" customFormat="false" ht="15" hidden="false" customHeight="false" outlineLevel="0" collapsed="false">
      <c r="A60" s="0" t="s">
        <v>141</v>
      </c>
      <c r="B60" s="21" t="n">
        <f aca="false">B59+B58+Assumptions!$B$21</f>
        <v>5522.429734586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8"/>
    <col collapsed="false" customWidth="true" hidden="false" outlineLevel="0" max="9" min="2" style="0" width="13"/>
  </cols>
  <sheetData>
    <row r="1" customFormat="false" ht="15" hidden="false" customHeight="false" outlineLevel="0" collapsed="false">
      <c r="A1" s="1" t="s">
        <v>142</v>
      </c>
    </row>
    <row r="2" customFormat="false" ht="15" hidden="false" customHeight="false" outlineLevel="0" collapsed="false">
      <c r="A2" s="2" t="s">
        <v>1</v>
      </c>
    </row>
    <row r="4" customFormat="false" ht="15" hidden="false" customHeight="false" outlineLevel="0" collapsed="false">
      <c r="A4" s="3" t="s">
        <v>143</v>
      </c>
      <c r="B4" s="4" t="s">
        <v>144</v>
      </c>
      <c r="C4" s="4" t="s">
        <v>145</v>
      </c>
      <c r="D4" s="4" t="s">
        <v>146</v>
      </c>
      <c r="E4" s="4" t="s">
        <v>147</v>
      </c>
      <c r="F4" s="4" t="s">
        <v>148</v>
      </c>
    </row>
    <row r="5" customFormat="false" ht="15" hidden="false" customHeight="false" outlineLevel="0" collapsed="false">
      <c r="A5" s="5" t="s">
        <v>149</v>
      </c>
    </row>
    <row r="6" customFormat="false" ht="15" hidden="false" customHeight="false" outlineLevel="0" collapsed="false">
      <c r="A6" s="22" t="s">
        <v>150</v>
      </c>
      <c r="B6" s="23" t="n">
        <v>896</v>
      </c>
      <c r="C6" s="23" t="n">
        <v>936.9</v>
      </c>
      <c r="D6" s="23" t="n">
        <v>998.6</v>
      </c>
      <c r="E6" s="23" t="n">
        <v>213.3</v>
      </c>
      <c r="F6" s="23" t="n">
        <v>238.7</v>
      </c>
    </row>
    <row r="7" customFormat="false" ht="15" hidden="false" customHeight="false" outlineLevel="0" collapsed="false">
      <c r="A7" s="22" t="s">
        <v>151</v>
      </c>
      <c r="B7" s="23" t="n">
        <v>289.3</v>
      </c>
      <c r="C7" s="23" t="n">
        <v>290.3</v>
      </c>
      <c r="D7" s="23" t="n">
        <v>310.6</v>
      </c>
      <c r="E7" s="23" t="n">
        <v>68.7</v>
      </c>
      <c r="F7" s="23" t="n">
        <v>72.5</v>
      </c>
    </row>
    <row r="8" customFormat="false" ht="15" hidden="false" customHeight="false" outlineLevel="0" collapsed="false">
      <c r="A8" s="22" t="s">
        <v>152</v>
      </c>
      <c r="B8" s="23" t="n">
        <v>147.6</v>
      </c>
      <c r="C8" s="23" t="n">
        <v>148</v>
      </c>
      <c r="D8" s="23" t="n">
        <v>176.2</v>
      </c>
      <c r="E8" s="23" t="n">
        <v>34.2</v>
      </c>
      <c r="F8" s="23" t="n">
        <v>37.9</v>
      </c>
    </row>
    <row r="9" customFormat="false" ht="15" hidden="false" customHeight="false" outlineLevel="0" collapsed="false">
      <c r="A9" s="22" t="s">
        <v>153</v>
      </c>
      <c r="B9" s="23" t="n">
        <v>76.5</v>
      </c>
      <c r="C9" s="23" t="n">
        <v>100.7</v>
      </c>
      <c r="D9" s="23" t="n">
        <v>120.6</v>
      </c>
      <c r="E9" s="23" t="n">
        <v>21.5</v>
      </c>
      <c r="F9" s="23" t="n">
        <v>33.1</v>
      </c>
    </row>
    <row r="10" customFormat="false" ht="15" hidden="false" customHeight="false" outlineLevel="0" collapsed="false">
      <c r="A10" s="22" t="s">
        <v>154</v>
      </c>
      <c r="B10" s="23" t="n">
        <v>104.1</v>
      </c>
      <c r="C10" s="23" t="n">
        <v>92.6</v>
      </c>
      <c r="D10" s="23" t="n">
        <v>109.9</v>
      </c>
      <c r="E10" s="23" t="n">
        <v>23.2</v>
      </c>
      <c r="F10" s="23" t="n">
        <v>25.9</v>
      </c>
    </row>
    <row r="11" customFormat="false" ht="15" hidden="false" customHeight="false" outlineLevel="0" collapsed="false">
      <c r="A11" s="22" t="s">
        <v>155</v>
      </c>
      <c r="B11" s="23" t="n">
        <v>16.7</v>
      </c>
      <c r="C11" s="23" t="n">
        <v>14.9</v>
      </c>
      <c r="D11" s="23" t="n">
        <v>15.8</v>
      </c>
      <c r="E11" s="23" t="n">
        <v>2.8</v>
      </c>
      <c r="F11" s="23" t="n">
        <v>3.7</v>
      </c>
    </row>
    <row r="12" customFormat="false" ht="15" hidden="false" customHeight="false" outlineLevel="0" collapsed="false">
      <c r="A12" s="5" t="s">
        <v>156</v>
      </c>
      <c r="B12" s="24" t="n">
        <f aca="false">SUM(B6:B11)</f>
        <v>1530.2</v>
      </c>
      <c r="C12" s="24" t="n">
        <f aca="false">SUM(C6:C11)</f>
        <v>1583.4</v>
      </c>
      <c r="D12" s="24" t="n">
        <f aca="false">SUM(D6:D11)</f>
        <v>1731.7</v>
      </c>
      <c r="E12" s="24" t="n">
        <f aca="false">SUM(E6:E11)</f>
        <v>363.7</v>
      </c>
      <c r="F12" s="24" t="n">
        <f aca="false">SUM(F6:F11)</f>
        <v>411.8</v>
      </c>
    </row>
    <row r="13" customFormat="false" ht="15" hidden="false" customHeight="false" outlineLevel="0" collapsed="false">
      <c r="A13" s="0" t="s">
        <v>157</v>
      </c>
      <c r="B13" s="23" t="n">
        <v>1530.5</v>
      </c>
      <c r="C13" s="23" t="n">
        <v>1583.7</v>
      </c>
      <c r="D13" s="23" t="n">
        <v>1732</v>
      </c>
      <c r="E13" s="23" t="n">
        <v>364</v>
      </c>
      <c r="F13" s="23" t="n">
        <v>412.1</v>
      </c>
    </row>
    <row r="15" customFormat="false" ht="15" hidden="false" customHeight="false" outlineLevel="0" collapsed="false">
      <c r="A15" s="5" t="s">
        <v>158</v>
      </c>
    </row>
    <row r="16" customFormat="false" ht="15" hidden="false" customHeight="false" outlineLevel="0" collapsed="false">
      <c r="A16" s="0" t="s">
        <v>150</v>
      </c>
      <c r="B16" s="23" t="n">
        <v>134.1</v>
      </c>
      <c r="C16" s="23" t="n">
        <v>143</v>
      </c>
      <c r="D16" s="23" t="n">
        <v>145.9</v>
      </c>
      <c r="E16" s="23" t="n">
        <v>36.3</v>
      </c>
      <c r="F16" s="23" t="n">
        <v>41</v>
      </c>
    </row>
    <row r="17" customFormat="false" ht="15" hidden="false" customHeight="false" outlineLevel="0" collapsed="false">
      <c r="A17" s="0" t="s">
        <v>151</v>
      </c>
      <c r="B17" s="23" t="n">
        <v>13</v>
      </c>
      <c r="C17" s="23" t="n">
        <v>8.4</v>
      </c>
      <c r="D17" s="23" t="n">
        <v>12.1</v>
      </c>
      <c r="E17" s="23" t="n">
        <v>2.8</v>
      </c>
      <c r="F17" s="23" t="n">
        <v>2.1</v>
      </c>
    </row>
    <row r="18" customFormat="false" ht="15" hidden="false" customHeight="false" outlineLevel="0" collapsed="false">
      <c r="A18" s="0" t="s">
        <v>152</v>
      </c>
      <c r="B18" s="23" t="n">
        <v>0.8</v>
      </c>
      <c r="C18" s="23" t="n">
        <v>9.5</v>
      </c>
      <c r="D18" s="23" t="n">
        <v>17</v>
      </c>
      <c r="E18" s="23" t="n">
        <v>2.8</v>
      </c>
      <c r="F18" s="23" t="n">
        <v>4.2</v>
      </c>
    </row>
    <row r="19" customFormat="false" ht="15" hidden="false" customHeight="false" outlineLevel="0" collapsed="false">
      <c r="A19" s="0" t="s">
        <v>159</v>
      </c>
      <c r="B19" s="23" t="n">
        <v>40.2</v>
      </c>
      <c r="C19" s="23" t="n">
        <v>54.6</v>
      </c>
      <c r="D19" s="23" t="n">
        <v>65.5</v>
      </c>
      <c r="E19" s="23" t="n">
        <v>10.8</v>
      </c>
      <c r="F19" s="23" t="n">
        <v>19.1</v>
      </c>
    </row>
    <row r="20" customFormat="false" ht="15" hidden="false" customHeight="false" outlineLevel="0" collapsed="false">
      <c r="A20" s="0" t="s">
        <v>154</v>
      </c>
      <c r="B20" s="23" t="n">
        <v>4.5</v>
      </c>
      <c r="C20" s="23" t="n">
        <v>2</v>
      </c>
      <c r="D20" s="23" t="n">
        <v>2.4</v>
      </c>
      <c r="E20" s="23" t="n">
        <v>1.6</v>
      </c>
      <c r="F20" s="23" t="n">
        <v>1.7</v>
      </c>
    </row>
    <row r="21" customFormat="false" ht="15" hidden="false" customHeight="false" outlineLevel="0" collapsed="false">
      <c r="A21" s="0" t="s">
        <v>155</v>
      </c>
      <c r="B21" s="23" t="n">
        <v>6.3</v>
      </c>
      <c r="C21" s="23" t="n">
        <v>6</v>
      </c>
      <c r="D21" s="23" t="n">
        <v>5.1</v>
      </c>
      <c r="E21" s="23" t="n">
        <v>1.9</v>
      </c>
      <c r="F21" s="23" t="n">
        <v>1.6</v>
      </c>
    </row>
    <row r="22" customFormat="false" ht="15" hidden="false" customHeight="false" outlineLevel="0" collapsed="false">
      <c r="A22" s="5" t="s">
        <v>160</v>
      </c>
      <c r="B22" s="24" t="n">
        <f aca="false">SUM(B16:B21)</f>
        <v>198.9</v>
      </c>
      <c r="C22" s="24" t="n">
        <f aca="false">SUM(C16:C21)</f>
        <v>223.5</v>
      </c>
      <c r="D22" s="24" t="n">
        <f aca="false">SUM(D16:D21)</f>
        <v>248</v>
      </c>
      <c r="E22" s="24" t="n">
        <f aca="false">SUM(E16:E21)</f>
        <v>56.2</v>
      </c>
      <c r="F22" s="24" t="n">
        <f aca="false">SUM(F16:F21)</f>
        <v>69.7</v>
      </c>
    </row>
    <row r="23" customFormat="false" ht="15" hidden="false" customHeight="false" outlineLevel="0" collapsed="false">
      <c r="A23" s="0" t="s">
        <v>161</v>
      </c>
      <c r="B23" s="23" t="n">
        <v>-39.8</v>
      </c>
      <c r="C23" s="23" t="n">
        <v>-42.5</v>
      </c>
      <c r="D23" s="23" t="n">
        <v>-46.2</v>
      </c>
      <c r="E23" s="23" t="n">
        <v>-9.2</v>
      </c>
      <c r="F23" s="23" t="n">
        <v>-9.9</v>
      </c>
    </row>
    <row r="24" customFormat="false" ht="15" hidden="false" customHeight="false" outlineLevel="0" collapsed="false">
      <c r="A24" s="5" t="s">
        <v>162</v>
      </c>
      <c r="B24" s="24" t="n">
        <f aca="false">B22+B23</f>
        <v>159.1</v>
      </c>
      <c r="C24" s="24" t="n">
        <f aca="false">C22+C23</f>
        <v>181</v>
      </c>
      <c r="D24" s="24" t="n">
        <f aca="false">D22+D23</f>
        <v>201.8</v>
      </c>
      <c r="E24" s="24" t="n">
        <f aca="false">E22+E23</f>
        <v>47</v>
      </c>
      <c r="F24" s="24" t="n">
        <f aca="false">F22+F23</f>
        <v>59.8</v>
      </c>
    </row>
    <row r="25" customFormat="false" ht="15" hidden="false" customHeight="false" outlineLevel="0" collapsed="false">
      <c r="A25" s="0" t="s">
        <v>163</v>
      </c>
      <c r="B25" s="23" t="n">
        <v>159.3</v>
      </c>
      <c r="C25" s="23" t="n">
        <v>181.1</v>
      </c>
      <c r="D25" s="23" t="n">
        <v>202</v>
      </c>
      <c r="E25" s="23" t="n">
        <v>47.2</v>
      </c>
      <c r="F25" s="23" t="n">
        <v>60.1</v>
      </c>
    </row>
    <row r="27" customFormat="false" ht="15" hidden="false" customHeight="false" outlineLevel="0" collapsed="false">
      <c r="A27" s="5" t="s">
        <v>164</v>
      </c>
    </row>
    <row r="28" customFormat="false" ht="15" hidden="false" customHeight="false" outlineLevel="0" collapsed="false">
      <c r="A28" s="0" t="s">
        <v>165</v>
      </c>
      <c r="B28" s="25" t="n">
        <f aca="false">B9/B12</f>
        <v>0.0499934649065482</v>
      </c>
      <c r="C28" s="25" t="n">
        <f aca="false">C9/C12</f>
        <v>0.0635973222180119</v>
      </c>
      <c r="D28" s="25" t="n">
        <f aca="false">D9/D12</f>
        <v>0.0696425477854132</v>
      </c>
      <c r="E28" s="25" t="n">
        <f aca="false">E9/E12</f>
        <v>0.0591146549353863</v>
      </c>
      <c r="F28" s="25" t="n">
        <f aca="false">F9/F12</f>
        <v>0.080378824672171</v>
      </c>
    </row>
    <row r="29" customFormat="false" ht="15" hidden="false" customHeight="false" outlineLevel="0" collapsed="false">
      <c r="A29" s="0" t="s">
        <v>166</v>
      </c>
      <c r="B29" s="25" t="n">
        <f aca="false">B19/B22</f>
        <v>0.20211161387632</v>
      </c>
      <c r="C29" s="25" t="n">
        <f aca="false">C19/C22</f>
        <v>0.244295302013423</v>
      </c>
      <c r="D29" s="25" t="n">
        <f aca="false">D19/D22</f>
        <v>0.264112903225806</v>
      </c>
      <c r="E29" s="25" t="n">
        <f aca="false">E19/E22</f>
        <v>0.192170818505338</v>
      </c>
      <c r="F29" s="25" t="n">
        <f aca="false">F19/F22</f>
        <v>0.27403156384505</v>
      </c>
    </row>
    <row r="30" customFormat="false" ht="15" hidden="false" customHeight="false" outlineLevel="0" collapsed="false">
      <c r="A30" s="0" t="s">
        <v>167</v>
      </c>
      <c r="B30" s="25" t="n">
        <f aca="false">B19/B25</f>
        <v>0.252354048964219</v>
      </c>
      <c r="C30" s="25" t="n">
        <f aca="false">C19/C25</f>
        <v>0.301490889011596</v>
      </c>
      <c r="D30" s="25" t="n">
        <f aca="false">D19/D25</f>
        <v>0.324257425742574</v>
      </c>
      <c r="E30" s="25" t="n">
        <f aca="false">E19/E25</f>
        <v>0.228813559322034</v>
      </c>
      <c r="F30" s="25" t="n">
        <f aca="false">F19/F25</f>
        <v>0.317803660565724</v>
      </c>
    </row>
    <row r="31" customFormat="false" ht="15" hidden="false" customHeight="false" outlineLevel="0" collapsed="false">
      <c r="A31" s="0" t="s">
        <v>168</v>
      </c>
      <c r="B31" s="25" t="n">
        <f aca="false">B19/B9</f>
        <v>0.525490196078431</v>
      </c>
      <c r="C31" s="25" t="n">
        <f aca="false">C19/C9</f>
        <v>0.542204568023833</v>
      </c>
      <c r="D31" s="25" t="n">
        <f aca="false">D19/D9</f>
        <v>0.543117744610282</v>
      </c>
      <c r="E31" s="25" t="n">
        <f aca="false">E19/E9</f>
        <v>0.502325581395349</v>
      </c>
      <c r="F31" s="25" t="n">
        <f aca="false">F19/F9</f>
        <v>0.577039274924471</v>
      </c>
    </row>
    <row r="32" customFormat="false" ht="15" hidden="false" customHeight="false" outlineLevel="0" collapsed="false">
      <c r="A32" s="0" t="s">
        <v>169</v>
      </c>
      <c r="B32" s="25" t="n">
        <f aca="false">(B6+B7)/B12</f>
        <v>0.774604626846164</v>
      </c>
      <c r="C32" s="25" t="n">
        <f aca="false">(C6+C7)/C12</f>
        <v>0.77504105090312</v>
      </c>
      <c r="D32" s="25" t="n">
        <f aca="false">(D6+D7)/D12</f>
        <v>0.75602009585956</v>
      </c>
      <c r="E32" s="25" t="n">
        <f aca="false">(E6+E7)/E12</f>
        <v>0.775364311245532</v>
      </c>
      <c r="F32" s="25" t="n">
        <f aca="false">(F6+F7)/F12</f>
        <v>0.755706653715396</v>
      </c>
    </row>
    <row r="33" customFormat="false" ht="15" hidden="false" customHeight="false" outlineLevel="0" collapsed="false">
      <c r="A33" s="0" t="s">
        <v>170</v>
      </c>
      <c r="B33" s="25" t="n">
        <f aca="false">(B16+B17)/B22</f>
        <v>0.739567621920563</v>
      </c>
      <c r="C33" s="25" t="n">
        <f aca="false">(C16+C17)/C22</f>
        <v>0.677404921700224</v>
      </c>
      <c r="D33" s="25" t="n">
        <f aca="false">(D16+D17)/D22</f>
        <v>0.637096774193548</v>
      </c>
      <c r="E33" s="25" t="n">
        <f aca="false">(E16+E17)/E22</f>
        <v>0.695729537366548</v>
      </c>
      <c r="F33" s="25" t="n">
        <f aca="false">(F16+F17)/F22</f>
        <v>0.618364418938307</v>
      </c>
    </row>
    <row r="35" customFormat="false" ht="15" hidden="false" customHeight="false" outlineLevel="0" collapsed="false">
      <c r="A35" s="3" t="s">
        <v>171</v>
      </c>
      <c r="B35" s="4" t="s">
        <v>172</v>
      </c>
      <c r="C35" s="4" t="s">
        <v>173</v>
      </c>
      <c r="D35" s="4" t="s">
        <v>174</v>
      </c>
      <c r="E35" s="4" t="s">
        <v>144</v>
      </c>
      <c r="F35" s="4" t="s">
        <v>145</v>
      </c>
    </row>
    <row r="36" customFormat="false" ht="15" hidden="false" customHeight="false" outlineLevel="0" collapsed="false">
      <c r="A36" s="0" t="s">
        <v>149</v>
      </c>
      <c r="B36" s="23" t="n">
        <v>60.5</v>
      </c>
      <c r="C36" s="23" t="n">
        <v>70.1</v>
      </c>
      <c r="D36" s="23" t="n">
        <v>60.8</v>
      </c>
      <c r="E36" s="23" t="n">
        <v>76.5</v>
      </c>
      <c r="F36" s="23" t="n">
        <v>100.7</v>
      </c>
    </row>
    <row r="37" customFormat="false" ht="15" hidden="false" customHeight="false" outlineLevel="0" collapsed="false">
      <c r="A37" s="0" t="s">
        <v>158</v>
      </c>
      <c r="B37" s="23" t="n">
        <v>28.9</v>
      </c>
      <c r="C37" s="23" t="n">
        <v>36.9</v>
      </c>
      <c r="D37" s="23" t="n">
        <v>27.6</v>
      </c>
      <c r="E37" s="23" t="n">
        <v>40.2</v>
      </c>
      <c r="F37" s="23" t="n">
        <v>54.6</v>
      </c>
    </row>
    <row r="38" customFormat="false" ht="15" hidden="false" customHeight="false" outlineLevel="0" collapsed="false">
      <c r="A38" s="0" t="s">
        <v>175</v>
      </c>
      <c r="B38" s="25" t="n">
        <f aca="false">B37/B36</f>
        <v>0.477685950413223</v>
      </c>
      <c r="C38" s="25" t="n">
        <f aca="false">C37/C36</f>
        <v>0.526390870185449</v>
      </c>
      <c r="D38" s="25" t="n">
        <f aca="false">D37/D36</f>
        <v>0.453947368421053</v>
      </c>
      <c r="E38" s="25" t="n">
        <f aca="false">E37/E36</f>
        <v>0.525490196078431</v>
      </c>
      <c r="F38" s="25" t="n">
        <f aca="false">F37/F36</f>
        <v>0.542204568023833</v>
      </c>
    </row>
    <row r="40" customFormat="false" ht="15" hidden="false" customHeight="false" outlineLevel="0" collapsed="false">
      <c r="A40" s="3" t="s">
        <v>176</v>
      </c>
      <c r="B40" s="4" t="s">
        <v>147</v>
      </c>
      <c r="C40" s="4" t="s">
        <v>177</v>
      </c>
      <c r="D40" s="4" t="s">
        <v>178</v>
      </c>
      <c r="E40" s="4" t="s">
        <v>179</v>
      </c>
      <c r="F40" s="4" t="s">
        <v>148</v>
      </c>
    </row>
    <row r="41" customFormat="false" ht="15" hidden="false" customHeight="false" outlineLevel="0" collapsed="false">
      <c r="A41" s="0" t="s">
        <v>149</v>
      </c>
      <c r="B41" s="23" t="n">
        <v>21.5</v>
      </c>
      <c r="C41" s="23" t="n">
        <v>23.4</v>
      </c>
      <c r="D41" s="23" t="n">
        <v>28.9</v>
      </c>
      <c r="E41" s="23" t="n">
        <v>26.9</v>
      </c>
      <c r="F41" s="23" t="n">
        <v>33.1</v>
      </c>
    </row>
    <row r="42" customFormat="false" ht="15" hidden="false" customHeight="false" outlineLevel="0" collapsed="false">
      <c r="A42" s="0" t="s">
        <v>158</v>
      </c>
      <c r="B42" s="23" t="n">
        <v>10.8</v>
      </c>
      <c r="C42" s="23" t="n">
        <v>12.8</v>
      </c>
      <c r="D42" s="23" t="n">
        <v>16.5</v>
      </c>
      <c r="E42" s="23" t="n">
        <v>14.4</v>
      </c>
      <c r="F42" s="23" t="n">
        <v>19.1</v>
      </c>
    </row>
    <row r="43" customFormat="false" ht="15" hidden="false" customHeight="false" outlineLevel="0" collapsed="false">
      <c r="A43" s="0" t="s">
        <v>175</v>
      </c>
      <c r="B43" s="25" t="n">
        <f aca="false">B42/B41</f>
        <v>0.502325581395349</v>
      </c>
      <c r="C43" s="25" t="n">
        <f aca="false">C42/C41</f>
        <v>0.547008547008547</v>
      </c>
      <c r="D43" s="25" t="n">
        <f aca="false">D42/D41</f>
        <v>0.570934256055363</v>
      </c>
      <c r="E43" s="25" t="n">
        <f aca="false">E42/E41</f>
        <v>0.535315985130112</v>
      </c>
      <c r="F43" s="25" t="n">
        <f aca="false">F42/F41</f>
        <v>0.577039274924471</v>
      </c>
    </row>
    <row r="44" customFormat="false" ht="15" hidden="false" customHeight="false" outlineLevel="0" collapsed="false">
      <c r="A44" s="0" t="s">
        <v>180</v>
      </c>
      <c r="F44" s="25" t="n">
        <f aca="false">F41/B41-1</f>
        <v>0.53953488372093</v>
      </c>
    </row>
    <row r="45" customFormat="false" ht="15" hidden="false" customHeight="false" outlineLevel="0" collapsed="false">
      <c r="A45" s="0" t="s">
        <v>181</v>
      </c>
      <c r="F45" s="25" t="n">
        <f aca="false">F42/B42-1</f>
        <v>0.768518518518519</v>
      </c>
    </row>
    <row r="46" customFormat="false" ht="15" hidden="false" customHeight="false" outlineLevel="0" collapsed="false">
      <c r="A46" s="0" t="s">
        <v>182</v>
      </c>
      <c r="B46" s="23" t="n">
        <v>98.383</v>
      </c>
      <c r="C46" s="23" t="n">
        <v>53.012</v>
      </c>
    </row>
    <row r="48" customFormat="false" ht="15" hidden="false" customHeight="false" outlineLevel="0" collapsed="false">
      <c r="A48" s="12" t="s">
        <v>183</v>
      </c>
    </row>
    <row r="49" customFormat="false" ht="15" hidden="false" customHeight="false" outlineLevel="0" collapsed="false">
      <c r="A49" s="12" t="s">
        <v>184</v>
      </c>
    </row>
    <row r="50" customFormat="false" ht="15" hidden="false" customHeight="false" outlineLevel="0" collapsed="false">
      <c r="A50" s="12" t="s">
        <v>185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60"/>
    <col collapsed="false" customWidth="true" hidden="false" outlineLevel="0" max="4" min="2" style="0" width="14"/>
    <col collapsed="false" customWidth="true" hidden="false" outlineLevel="0" max="5" min="5" style="0" width="60"/>
  </cols>
  <sheetData>
    <row r="1" customFormat="false" ht="15" hidden="false" customHeight="false" outlineLevel="0" collapsed="false">
      <c r="A1" s="1" t="s">
        <v>186</v>
      </c>
    </row>
    <row r="2" customFormat="false" ht="15" hidden="false" customHeight="false" outlineLevel="0" collapsed="false">
      <c r="A2" s="2" t="s">
        <v>1</v>
      </c>
    </row>
    <row r="4" customFormat="false" ht="15" hidden="false" customHeight="false" outlineLevel="0" collapsed="false">
      <c r="A4" s="3" t="s">
        <v>143</v>
      </c>
      <c r="B4" s="4" t="s">
        <v>146</v>
      </c>
      <c r="C4" s="4" t="s">
        <v>187</v>
      </c>
      <c r="D4" s="4" t="s">
        <v>188</v>
      </c>
      <c r="E4" s="4" t="s">
        <v>189</v>
      </c>
    </row>
    <row r="5" customFormat="false" ht="15" hidden="false" customHeight="false" outlineLevel="0" collapsed="false">
      <c r="A5" s="22" t="s">
        <v>190</v>
      </c>
      <c r="B5" s="20" t="n">
        <f aca="false">Assumptions!$B$24</f>
        <v>1309.2</v>
      </c>
      <c r="C5" s="20" t="n">
        <f aca="false">Assumptions!$B$24</f>
        <v>1309.2</v>
      </c>
      <c r="D5" s="20" t="n">
        <f aca="false">Assumptions!$B$24*(1+Assumptions!$B$40)</f>
        <v>1361.568</v>
      </c>
      <c r="E5" s="7"/>
    </row>
    <row r="6" customFormat="false" ht="15" hidden="false" customHeight="false" outlineLevel="0" collapsed="false">
      <c r="A6" s="22" t="s">
        <v>191</v>
      </c>
      <c r="B6" s="20" t="n">
        <f aca="false">Assumptions!$B$25</f>
        <v>286.1</v>
      </c>
      <c r="C6" s="20" t="n">
        <f aca="false">Assumptions!$B$25</f>
        <v>286.1</v>
      </c>
      <c r="D6" s="20" t="n">
        <f aca="false">Assumptions!$B$25*(1+Assumptions!$B$41)</f>
        <v>303.266</v>
      </c>
      <c r="E6" s="7"/>
    </row>
    <row r="7" customFormat="false" ht="15" hidden="false" customHeight="false" outlineLevel="0" collapsed="false">
      <c r="A7" s="22" t="s">
        <v>192</v>
      </c>
      <c r="B7" s="20" t="n">
        <f aca="false">Assumptions!$B$26</f>
        <v>15.8</v>
      </c>
      <c r="C7" s="20" t="n">
        <f aca="false">Assumptions!$B$26</f>
        <v>15.8</v>
      </c>
      <c r="D7" s="20" t="n">
        <f aca="false">Assumptions!$B$26</f>
        <v>15.8</v>
      </c>
      <c r="E7" s="7"/>
    </row>
    <row r="8" customFormat="false" ht="15" hidden="false" customHeight="false" outlineLevel="0" collapsed="false">
      <c r="A8" s="22" t="s">
        <v>193</v>
      </c>
      <c r="B8" s="20" t="n">
        <f aca="false">Assumptions!$B$27</f>
        <v>120.6</v>
      </c>
      <c r="C8" s="20" t="n">
        <f aca="false">Assumptions!$B$35</f>
        <v>130</v>
      </c>
      <c r="D8" s="20" t="n">
        <f aca="false">Assumptions!$B$36</f>
        <v>152</v>
      </c>
      <c r="E8" s="7" t="s">
        <v>194</v>
      </c>
    </row>
    <row r="9" customFormat="false" ht="15" hidden="false" customHeight="false" outlineLevel="0" collapsed="false">
      <c r="A9" s="5" t="s">
        <v>156</v>
      </c>
      <c r="B9" s="24" t="n">
        <f aca="false">SUM(B5:B8)</f>
        <v>1731.7</v>
      </c>
      <c r="C9" s="24" t="n">
        <f aca="false">SUM(C5:C8)</f>
        <v>1741.1</v>
      </c>
      <c r="D9" s="24" t="n">
        <f aca="false">SUM(D5:D8)</f>
        <v>1832.634</v>
      </c>
      <c r="E9" s="7"/>
    </row>
    <row r="10" customFormat="false" ht="15" hidden="false" customHeight="false" outlineLevel="0" collapsed="false">
      <c r="A10" s="22" t="s">
        <v>195</v>
      </c>
      <c r="B10" s="20" t="n">
        <f aca="false">Assumptions!$B$23</f>
        <v>158</v>
      </c>
      <c r="C10" s="20" t="n">
        <f aca="false">Assumptions!$B$23</f>
        <v>158</v>
      </c>
      <c r="D10" s="20" t="n">
        <f aca="false">Assumptions!$B$23*(1+Assumptions!$B$39)</f>
        <v>164.32</v>
      </c>
      <c r="E10" s="7"/>
    </row>
    <row r="11" customFormat="false" ht="15" hidden="false" customHeight="false" outlineLevel="0" collapsed="false">
      <c r="A11" s="22" t="s">
        <v>196</v>
      </c>
      <c r="B11" s="20" t="n">
        <f aca="false">Assumptions!$B$29</f>
        <v>17</v>
      </c>
      <c r="C11" s="20" t="n">
        <f aca="false">Assumptions!$B$29</f>
        <v>17</v>
      </c>
      <c r="D11" s="20" t="n">
        <f aca="false">Assumptions!$B$42</f>
        <v>20</v>
      </c>
      <c r="E11" s="7"/>
    </row>
    <row r="12" customFormat="false" ht="15" hidden="false" customHeight="false" outlineLevel="0" collapsed="false">
      <c r="A12" s="22" t="s">
        <v>197</v>
      </c>
      <c r="B12" s="20" t="n">
        <f aca="false">Assumptions!$B$30</f>
        <v>2.4</v>
      </c>
      <c r="C12" s="20" t="n">
        <f aca="false">Assumptions!$B$30</f>
        <v>2.4</v>
      </c>
      <c r="D12" s="20" t="n">
        <f aca="false">Assumptions!$B$43</f>
        <v>2.5</v>
      </c>
      <c r="E12" s="7"/>
    </row>
    <row r="13" customFormat="false" ht="15" hidden="false" customHeight="false" outlineLevel="0" collapsed="false">
      <c r="A13" s="22" t="s">
        <v>198</v>
      </c>
      <c r="B13" s="20" t="n">
        <f aca="false">Assumptions!$B$31</f>
        <v>5.1</v>
      </c>
      <c r="C13" s="20" t="n">
        <f aca="false">Assumptions!$B$31</f>
        <v>5.1</v>
      </c>
      <c r="D13" s="20" t="n">
        <f aca="false">Assumptions!$B$44</f>
        <v>5</v>
      </c>
      <c r="E13" s="7"/>
    </row>
    <row r="14" customFormat="false" ht="15" hidden="false" customHeight="false" outlineLevel="0" collapsed="false">
      <c r="A14" s="22" t="s">
        <v>199</v>
      </c>
      <c r="B14" s="20" t="n">
        <f aca="false">Assumptions!$B$28</f>
        <v>65.5</v>
      </c>
      <c r="C14" s="20" t="n">
        <f aca="false">Assumptions!$B$35*Assumptions!$B$37</f>
        <v>72.8</v>
      </c>
      <c r="D14" s="20" t="n">
        <f aca="false">Assumptions!$B$36*Assumptions!$B$38</f>
        <v>85.12</v>
      </c>
      <c r="E14" s="7"/>
    </row>
    <row r="15" customFormat="false" ht="15" hidden="false" customHeight="false" outlineLevel="0" collapsed="false">
      <c r="A15" s="22" t="s">
        <v>200</v>
      </c>
      <c r="B15" s="20" t="n">
        <f aca="false">Assumptions!$B$32</f>
        <v>-46.2</v>
      </c>
      <c r="C15" s="20" t="n">
        <f aca="false">Assumptions!$B$32</f>
        <v>-46.2</v>
      </c>
      <c r="D15" s="20" t="n">
        <f aca="false">Assumptions!$B$45</f>
        <v>-48</v>
      </c>
      <c r="E15" s="7"/>
    </row>
    <row r="16" customFormat="false" ht="15" hidden="false" customHeight="false" outlineLevel="0" collapsed="false">
      <c r="A16" s="5" t="s">
        <v>162</v>
      </c>
      <c r="B16" s="24" t="n">
        <f aca="false">SUM(B10:B15)</f>
        <v>201.8</v>
      </c>
      <c r="C16" s="24" t="n">
        <f aca="false">SUM(C10:C15)</f>
        <v>209.1</v>
      </c>
      <c r="D16" s="24" t="n">
        <f aca="false">SUM(D10:D15)</f>
        <v>228.94</v>
      </c>
      <c r="E16" s="7" t="s">
        <v>201</v>
      </c>
    </row>
    <row r="17" customFormat="false" ht="15" hidden="false" customHeight="false" outlineLevel="0" collapsed="false">
      <c r="A17" s="22" t="s">
        <v>202</v>
      </c>
      <c r="B17" s="20" t="n">
        <f aca="false">Assumptions!$B$46</f>
        <v>-17.8</v>
      </c>
      <c r="C17" s="20" t="n">
        <f aca="false">Assumptions!$B$46</f>
        <v>-17.8</v>
      </c>
      <c r="D17" s="20" t="n">
        <f aca="false">Assumptions!$B$47</f>
        <v>-18</v>
      </c>
      <c r="E17" s="7"/>
    </row>
    <row r="18" customFormat="false" ht="15" hidden="false" customHeight="false" outlineLevel="0" collapsed="false">
      <c r="A18" s="22" t="s">
        <v>203</v>
      </c>
      <c r="B18" s="21" t="n">
        <f aca="false">B16+B17</f>
        <v>184</v>
      </c>
      <c r="C18" s="21" t="n">
        <f aca="false">C16+C17</f>
        <v>191.3</v>
      </c>
      <c r="D18" s="21" t="n">
        <f aca="false">D16+D17</f>
        <v>210.94</v>
      </c>
      <c r="E18" s="7" t="s">
        <v>204</v>
      </c>
    </row>
    <row r="19" customFormat="false" ht="15" hidden="false" customHeight="false" outlineLevel="0" collapsed="false">
      <c r="A19" s="22" t="s">
        <v>205</v>
      </c>
      <c r="B19" s="21" t="n">
        <f aca="false">B18+Assumptions!$B$33</f>
        <v>180</v>
      </c>
      <c r="C19" s="21" t="n">
        <f aca="false">C18+Assumptions!$B$33</f>
        <v>187.3</v>
      </c>
      <c r="D19" s="21" t="n">
        <f aca="false">D18+Assumptions!$B$33</f>
        <v>206.94</v>
      </c>
      <c r="E19" s="7"/>
    </row>
    <row r="20" customFormat="false" ht="15" hidden="false" customHeight="false" outlineLevel="0" collapsed="false">
      <c r="A20" s="22" t="s">
        <v>206</v>
      </c>
      <c r="B20" s="21" t="n">
        <f aca="false">B19*(1-Assumptions!$B$48)-Assumptions!$B$49</f>
        <v>123.2</v>
      </c>
      <c r="C20" s="21" t="n">
        <f aca="false">C19*(1-Assumptions!$B$48)-Assumptions!$B$49</f>
        <v>128.602</v>
      </c>
      <c r="D20" s="21" t="n">
        <f aca="false">D19*(1-Assumptions!$B$48)-Assumptions!$B$50</f>
        <v>142.6356</v>
      </c>
      <c r="E20" s="7" t="s">
        <v>207</v>
      </c>
    </row>
    <row r="21" customFormat="false" ht="15" hidden="false" customHeight="false" outlineLevel="0" collapsed="false">
      <c r="A21" s="5" t="s">
        <v>208</v>
      </c>
      <c r="B21" s="26" t="n">
        <f aca="false">B20/Assumptions!$B$51*1000</f>
        <v>129.411764705882</v>
      </c>
      <c r="C21" s="26" t="n">
        <f aca="false">C20/Assumptions!$B$51*1000</f>
        <v>135.086134453781</v>
      </c>
      <c r="D21" s="26" t="n">
        <f aca="false">D20/Assumptions!$B$52*1000</f>
        <v>150.459493670886</v>
      </c>
      <c r="E21" s="7" t="s">
        <v>209</v>
      </c>
    </row>
    <row r="22" customFormat="false" ht="15" hidden="false" customHeight="false" outlineLevel="0" collapsed="false">
      <c r="A22" s="22" t="s">
        <v>210</v>
      </c>
      <c r="B22" s="27" t="n">
        <f aca="false">Assumptions!$B$7/B21</f>
        <v>41.31</v>
      </c>
      <c r="C22" s="27" t="n">
        <f aca="false">Assumptions!$B$7/C21</f>
        <v>39.574750003888</v>
      </c>
      <c r="D22" s="27" t="n">
        <f aca="false">Assumptions!$B$7/D21</f>
        <v>35.5311577193912</v>
      </c>
      <c r="E22" s="7"/>
    </row>
    <row r="23" customFormat="false" ht="15" hidden="false" customHeight="false" outlineLevel="0" collapsed="false">
      <c r="A23" s="22" t="s">
        <v>211</v>
      </c>
      <c r="B23" s="25" t="n">
        <f aca="false">B14/B8</f>
        <v>0.543117744610282</v>
      </c>
      <c r="C23" s="25" t="n">
        <f aca="false">C14/C8</f>
        <v>0.56</v>
      </c>
      <c r="D23" s="25" t="n">
        <f aca="false">D14/D8</f>
        <v>0.56</v>
      </c>
      <c r="E23" s="7"/>
    </row>
    <row r="24" customFormat="false" ht="15" hidden="false" customHeight="false" outlineLevel="0" collapsed="false">
      <c r="A24" s="22" t="s">
        <v>212</v>
      </c>
      <c r="B24" s="25" t="n">
        <f aca="false">B8/History!C9-1</f>
        <v>0.197616683217478</v>
      </c>
      <c r="C24" s="25" t="n">
        <f aca="false">C8/History!C9-1</f>
        <v>0.290963257199603</v>
      </c>
      <c r="D24" s="25" t="n">
        <f aca="false">D8/C8-1</f>
        <v>0.169230769230769</v>
      </c>
      <c r="E24" s="7"/>
    </row>
    <row r="25" customFormat="false" ht="15" hidden="false" customHeight="false" outlineLevel="0" collapsed="false">
      <c r="A25" s="22" t="s">
        <v>213</v>
      </c>
      <c r="C25" s="19" t="n">
        <f aca="false">Assumptions!$B$14</f>
        <v>146.08</v>
      </c>
      <c r="E25" s="7" t="s">
        <v>214</v>
      </c>
    </row>
    <row r="26" customFormat="false" ht="15" hidden="false" customHeight="false" outlineLevel="0" collapsed="false">
      <c r="A26" s="22" t="s">
        <v>215</v>
      </c>
      <c r="C26" s="25" t="n">
        <f aca="false">C21/C25-1</f>
        <v>-0.0752592110228542</v>
      </c>
      <c r="E26" s="7"/>
    </row>
    <row r="29" customFormat="false" ht="15" hidden="false" customHeight="false" outlineLevel="0" collapsed="false">
      <c r="A29" s="12" t="s">
        <v>216</v>
      </c>
    </row>
    <row r="30" customFormat="false" ht="15" hidden="false" customHeight="false" outlineLevel="0" collapsed="false">
      <c r="A30" s="12" t="s">
        <v>217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66"/>
    <col collapsed="false" customWidth="true" hidden="false" outlineLevel="0" max="3" min="2" style="0" width="16"/>
    <col collapsed="false" customWidth="true" hidden="false" outlineLevel="0" max="4" min="4" style="0" width="70"/>
  </cols>
  <sheetData>
    <row r="1" customFormat="false" ht="15" hidden="false" customHeight="false" outlineLevel="0" collapsed="false">
      <c r="A1" s="1" t="s">
        <v>218</v>
      </c>
    </row>
    <row r="2" customFormat="false" ht="15" hidden="false" customHeight="false" outlineLevel="0" collapsed="false">
      <c r="A2" s="2" t="s">
        <v>1</v>
      </c>
    </row>
    <row r="4" customFormat="false" ht="15" hidden="false" customHeight="false" outlineLevel="0" collapsed="false">
      <c r="A4" s="3" t="s">
        <v>219</v>
      </c>
      <c r="B4" s="4" t="s">
        <v>220</v>
      </c>
      <c r="C4" s="4" t="s">
        <v>221</v>
      </c>
      <c r="D4" s="4" t="s">
        <v>4</v>
      </c>
    </row>
    <row r="5" customFormat="false" ht="15" hidden="false" customHeight="false" outlineLevel="0" collapsed="false">
      <c r="A5" s="0" t="s">
        <v>222</v>
      </c>
      <c r="B5" s="20" t="n">
        <f aca="false">Forecast!C15+Forecast!C17</f>
        <v>-64</v>
      </c>
      <c r="C5" s="20" t="n">
        <f aca="false">Forecast!D15+Forecast!D17</f>
        <v>-66</v>
      </c>
      <c r="D5" s="0" t="s">
        <v>223</v>
      </c>
    </row>
    <row r="6" customFormat="false" ht="15" hidden="false" customHeight="false" outlineLevel="0" collapsed="false">
      <c r="A6" s="0" t="s">
        <v>224</v>
      </c>
      <c r="B6" s="10" t="n">
        <f aca="false">Forecast!C8/Forecast!C9</f>
        <v>0.0746654413876285</v>
      </c>
      <c r="C6" s="10" t="n">
        <f aca="false">Forecast!D8/Forecast!D9</f>
        <v>0.0829407290271816</v>
      </c>
    </row>
    <row r="7" customFormat="false" ht="15" hidden="false" customHeight="false" outlineLevel="0" collapsed="false">
      <c r="A7" s="0" t="s">
        <v>225</v>
      </c>
      <c r="B7" s="20" t="n">
        <f aca="false">Forecast!C14+B5*B6</f>
        <v>68.0214117511918</v>
      </c>
      <c r="C7" s="20" t="n">
        <f aca="false">Forecast!D14+C5*C6</f>
        <v>79.645911884206</v>
      </c>
    </row>
    <row r="8" customFormat="false" ht="15" hidden="false" customHeight="false" outlineLevel="0" collapsed="false">
      <c r="A8" s="0" t="s">
        <v>226</v>
      </c>
      <c r="B8" s="20" t="n">
        <f aca="false">Forecast!C10+Forecast!C11+Forecast!C12+Forecast!C13+B5*(1-B6)</f>
        <v>123.278588248808</v>
      </c>
      <c r="C8" s="20" t="n">
        <f aca="false">Forecast!D10+Forecast!D11+Forecast!D12+Forecast!D13+C5*(1-C6)</f>
        <v>131.294088115794</v>
      </c>
      <c r="D8" s="0" t="s">
        <v>227</v>
      </c>
    </row>
    <row r="9" customFormat="false" ht="15" hidden="false" customHeight="false" outlineLevel="0" collapsed="false">
      <c r="A9" s="0" t="s">
        <v>228</v>
      </c>
      <c r="B9" s="25" t="n">
        <f aca="false">B7/(B7+B8)</f>
        <v>0.355574551757406</v>
      </c>
      <c r="C9" s="25" t="n">
        <f aca="false">C7/(C7+C8)</f>
        <v>0.377576144326377</v>
      </c>
    </row>
    <row r="11" customFormat="false" ht="15" hidden="false" customHeight="false" outlineLevel="0" collapsed="false">
      <c r="A11" s="3" t="s">
        <v>229</v>
      </c>
      <c r="B11" s="4" t="s">
        <v>3</v>
      </c>
      <c r="C11" s="4"/>
      <c r="D11" s="4" t="s">
        <v>4</v>
      </c>
    </row>
    <row r="12" customFormat="false" ht="15" hidden="false" customHeight="false" outlineLevel="0" collapsed="false">
      <c r="A12" s="22" t="s">
        <v>230</v>
      </c>
      <c r="B12" s="21" t="n">
        <f aca="false">C8*Assumptions!$B$53</f>
        <v>2363.29358608429</v>
      </c>
      <c r="D12" s="0" t="s">
        <v>231</v>
      </c>
    </row>
    <row r="13" customFormat="false" ht="15" hidden="false" customHeight="false" outlineLevel="0" collapsed="false">
      <c r="A13" s="22" t="s">
        <v>232</v>
      </c>
      <c r="B13" s="21" t="n">
        <f aca="false">C7*Assumptions!$B$54</f>
        <v>2230.08553275777</v>
      </c>
    </row>
    <row r="14" customFormat="false" ht="15" hidden="false" customHeight="false" outlineLevel="0" collapsed="false">
      <c r="A14" s="22" t="s">
        <v>233</v>
      </c>
      <c r="B14" s="21" t="n">
        <f aca="false">B12+B13</f>
        <v>4593.37911884206</v>
      </c>
    </row>
    <row r="15" customFormat="false" ht="15" hidden="false" customHeight="false" outlineLevel="0" collapsed="false">
      <c r="A15" s="22" t="s">
        <v>234</v>
      </c>
      <c r="B15" s="20" t="n">
        <f aca="false">Assumptions!$B$58</f>
        <v>364.94</v>
      </c>
      <c r="D15" s="0" t="s">
        <v>235</v>
      </c>
    </row>
    <row r="16" customFormat="false" ht="15" hidden="false" customHeight="false" outlineLevel="0" collapsed="false">
      <c r="A16" s="22" t="s">
        <v>236</v>
      </c>
      <c r="B16" s="20" t="n">
        <f aca="false">Assumptions!$B$21</f>
        <v>73.845</v>
      </c>
    </row>
    <row r="17" customFormat="false" ht="15" hidden="false" customHeight="false" outlineLevel="0" collapsed="false">
      <c r="A17" s="5" t="s">
        <v>237</v>
      </c>
      <c r="B17" s="21" t="n">
        <f aca="false">B14-B15-B16</f>
        <v>4154.59411884206</v>
      </c>
    </row>
    <row r="18" customFormat="false" ht="15" hidden="false" customHeight="false" outlineLevel="0" collapsed="false">
      <c r="A18" s="5" t="s">
        <v>238</v>
      </c>
      <c r="B18" s="28" t="n">
        <f aca="false">B17/Assumptions!$B$57*1000</f>
        <v>4369.00320909982</v>
      </c>
    </row>
    <row r="19" customFormat="false" ht="15" hidden="false" customHeight="false" outlineLevel="0" collapsed="false">
      <c r="A19" s="22" t="s">
        <v>16</v>
      </c>
      <c r="B19" s="25" t="n">
        <f aca="false">B18/Assumptions!$B$7-1</f>
        <v>-0.182752860250688</v>
      </c>
    </row>
    <row r="20" customFormat="false" ht="15" hidden="false" customHeight="false" outlineLevel="0" collapsed="false">
      <c r="A20" s="22" t="s">
        <v>239</v>
      </c>
      <c r="B20" s="29" t="str">
        <f aca="false">IF(B19&gt;=0.15,"LONG",IF(B19&lt;=-0.25,"SHORT","NO CALL"))</f>
        <v>NO CALL</v>
      </c>
    </row>
    <row r="21" customFormat="false" ht="15" hidden="false" customHeight="false" outlineLevel="0" collapsed="false">
      <c r="A21" s="22" t="s">
        <v>5</v>
      </c>
      <c r="B21" s="30" t="s">
        <v>240</v>
      </c>
      <c r="D21" s="0" t="s">
        <v>241</v>
      </c>
    </row>
    <row r="22" customFormat="false" ht="15" hidden="false" customHeight="false" outlineLevel="0" collapsed="false">
      <c r="A22" s="22" t="s">
        <v>242</v>
      </c>
      <c r="B22" s="31" t="n">
        <f aca="false">(B12-B15-B16)/Assumptions!$B$57*1000</f>
        <v>2023.82806792349</v>
      </c>
    </row>
    <row r="23" customFormat="false" ht="15" hidden="false" customHeight="false" outlineLevel="0" collapsed="false">
      <c r="A23" s="22" t="s">
        <v>243</v>
      </c>
      <c r="B23" s="31" t="n">
        <f aca="false">B13/Assumptions!$B$57*1000</f>
        <v>2345.17514117633</v>
      </c>
    </row>
    <row r="24" customFormat="false" ht="15" hidden="false" customHeight="false" outlineLevel="0" collapsed="false">
      <c r="A24" s="22" t="s">
        <v>244</v>
      </c>
      <c r="B24" s="25" t="n">
        <f aca="false">B13/B14</f>
        <v>0.485499993590764</v>
      </c>
    </row>
    <row r="25" customFormat="false" ht="15" hidden="false" customHeight="false" outlineLevel="0" collapsed="false">
      <c r="A25" s="22" t="s">
        <v>245</v>
      </c>
      <c r="B25" s="31" t="n">
        <f aca="false">B18/1.15</f>
        <v>3799.13322530419</v>
      </c>
    </row>
    <row r="26" customFormat="false" ht="15" hidden="false" customHeight="false" outlineLevel="0" collapsed="false">
      <c r="A26" s="22" t="s">
        <v>246</v>
      </c>
      <c r="B26" s="31" t="n">
        <f aca="false">B18/0.75</f>
        <v>5825.3376121331</v>
      </c>
    </row>
    <row r="27" customFormat="false" ht="15" hidden="false" customHeight="false" outlineLevel="0" collapsed="false">
      <c r="A27" s="22" t="s">
        <v>247</v>
      </c>
      <c r="B27" s="31" t="n">
        <f aca="false">(C8*Peers!H13+C7*Peers!H14-B15-B16)/Assumptions!$B$57*1000</f>
        <v>3928.63545590208</v>
      </c>
      <c r="D27" s="0" t="s">
        <v>248</v>
      </c>
    </row>
    <row r="28" customFormat="false" ht="15" hidden="false" customHeight="false" outlineLevel="0" collapsed="false">
      <c r="A28" s="22" t="s">
        <v>249</v>
      </c>
      <c r="B28" s="25" t="n">
        <f aca="false">B27/Assumptions!$B$7-1</f>
        <v>-0.265126177347161</v>
      </c>
    </row>
    <row r="30" customFormat="false" ht="15" hidden="false" customHeight="false" outlineLevel="0" collapsed="false">
      <c r="A30" s="3" t="s">
        <v>250</v>
      </c>
      <c r="B30" s="4" t="s">
        <v>3</v>
      </c>
      <c r="C30" s="4"/>
      <c r="D30" s="4" t="s">
        <v>4</v>
      </c>
    </row>
    <row r="31" customFormat="false" ht="15" hidden="false" customHeight="false" outlineLevel="0" collapsed="false">
      <c r="A31" s="0" t="s">
        <v>141</v>
      </c>
      <c r="B31" s="20" t="n">
        <f aca="false">Assumptions!$B$60</f>
        <v>5522.429734586</v>
      </c>
    </row>
    <row r="32" customFormat="false" ht="15" hidden="false" customHeight="false" outlineLevel="0" collapsed="false">
      <c r="A32" s="0" t="s">
        <v>251</v>
      </c>
      <c r="B32" s="21" t="n">
        <f aca="false">B31-B12</f>
        <v>3159.13614850171</v>
      </c>
    </row>
    <row r="33" customFormat="false" ht="15" hidden="false" customHeight="false" outlineLevel="0" collapsed="false">
      <c r="A33" s="0" t="s">
        <v>252</v>
      </c>
      <c r="B33" s="32" t="n">
        <f aca="false">B32/C7</f>
        <v>39.6647621172905</v>
      </c>
    </row>
    <row r="34" customFormat="false" ht="15" hidden="false" customHeight="false" outlineLevel="0" collapsed="false">
      <c r="A34" s="0" t="s">
        <v>253</v>
      </c>
      <c r="B34" s="21" t="n">
        <f aca="false">B32/Assumptions!$B$54</f>
        <v>112.826291017918</v>
      </c>
    </row>
    <row r="35" customFormat="false" ht="15" hidden="false" customHeight="false" outlineLevel="0" collapsed="false">
      <c r="A35" s="0" t="s">
        <v>254</v>
      </c>
      <c r="B35" s="25" t="n">
        <f aca="false">B32/B31</f>
        <v>0.572055472017434</v>
      </c>
    </row>
    <row r="36" customFormat="false" ht="15" hidden="false" customHeight="false" outlineLevel="0" collapsed="false">
      <c r="A36" s="0" t="s">
        <v>255</v>
      </c>
      <c r="B36" s="25" t="n">
        <f aca="false">B22/Assumptions!$B$7</f>
        <v>0.378568662163018</v>
      </c>
    </row>
    <row r="37" customFormat="false" ht="15" hidden="false" customHeight="false" outlineLevel="0" collapsed="false">
      <c r="A37" s="0" t="s">
        <v>256</v>
      </c>
      <c r="B37" s="31" t="n">
        <f aca="false">0.1*B32/Assumptions!$B$57*1000</f>
        <v>332.217193207651</v>
      </c>
    </row>
    <row r="38" customFormat="false" ht="15" hidden="false" customHeight="false" outlineLevel="0" collapsed="false">
      <c r="A38" s="0" t="s">
        <v>257</v>
      </c>
      <c r="B38" s="25" t="n">
        <f aca="false">B37/Assumptions!$B$7</f>
        <v>0.0621431337836982</v>
      </c>
    </row>
    <row r="39" customFormat="false" ht="15" hidden="false" customHeight="false" outlineLevel="0" collapsed="false">
      <c r="A39" s="0" t="s">
        <v>258</v>
      </c>
      <c r="B39" s="31" t="n">
        <f aca="false">0.1*B13/Assumptions!$B$57*1000</f>
        <v>234.517514117633</v>
      </c>
    </row>
    <row r="40" customFormat="false" ht="15" hidden="false" customHeight="false" outlineLevel="0" collapsed="false">
      <c r="A40" s="0" t="s">
        <v>259</v>
      </c>
      <c r="B40" s="31" t="n">
        <f aca="false">C7/Assumptions!$B$57*1000</f>
        <v>83.7562550420118</v>
      </c>
    </row>
    <row r="41" customFormat="false" ht="15" hidden="false" customHeight="false" outlineLevel="0" collapsed="false">
      <c r="A41" s="0" t="s">
        <v>260</v>
      </c>
      <c r="B41" s="31" t="n">
        <f aca="false">C8/Assumptions!$B$57*1000</f>
        <v>138.069875397026</v>
      </c>
    </row>
    <row r="42" customFormat="false" ht="15" hidden="false" customHeight="false" outlineLevel="0" collapsed="false">
      <c r="A42" s="0" t="s">
        <v>261</v>
      </c>
      <c r="B42" s="27" t="n">
        <f aca="false">Assumptions!$B$7/Assumptions!$B$14</f>
        <v>36.5963855421687</v>
      </c>
    </row>
    <row r="43" customFormat="false" ht="15" hidden="false" customHeight="false" outlineLevel="0" collapsed="false">
      <c r="A43" s="0" t="s">
        <v>262</v>
      </c>
      <c r="B43" s="27" t="n">
        <f aca="false">Assumptions!$B$17/Assumptions!$B$15</f>
        <v>26.8254610581345</v>
      </c>
    </row>
    <row r="44" customFormat="false" ht="15" hidden="false" customHeight="false" outlineLevel="0" collapsed="false">
      <c r="A44" s="0" t="s">
        <v>263</v>
      </c>
      <c r="B44" s="32" t="n">
        <f aca="false">B31/History!D25</f>
        <v>27.3387610623069</v>
      </c>
      <c r="D44" s="0" t="s">
        <v>264</v>
      </c>
    </row>
    <row r="45" customFormat="false" ht="15" hidden="false" customHeight="false" outlineLevel="0" collapsed="false">
      <c r="A45" s="0" t="s">
        <v>265</v>
      </c>
      <c r="B45" s="10" t="n">
        <f aca="false">Assumptions!$B$7/Assumptions!$B$10-1</f>
        <v>0.611697316852578</v>
      </c>
    </row>
    <row r="46" customFormat="false" ht="15" hidden="false" customHeight="false" outlineLevel="0" collapsed="false">
      <c r="A46" s="0" t="s">
        <v>266</v>
      </c>
      <c r="B46" s="10" t="n">
        <f aca="false">Assumptions!$B$7/Assumptions!$B$8-1</f>
        <v>-0.134251012145749</v>
      </c>
    </row>
    <row r="48" customFormat="false" ht="15" hidden="false" customHeight="false" outlineLevel="0" collapsed="false">
      <c r="A48" s="12" t="s">
        <v>267</v>
      </c>
    </row>
    <row r="49" customFormat="false" ht="15" hidden="false" customHeight="false" outlineLevel="0" collapsed="false">
      <c r="A49" s="12" t="s">
        <v>268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8"/>
    <col collapsed="false" customWidth="true" hidden="false" outlineLevel="0" max="4" min="2" style="0" width="14"/>
    <col collapsed="false" customWidth="true" hidden="false" outlineLevel="0" max="5" min="5" style="0" width="60"/>
  </cols>
  <sheetData>
    <row r="1" customFormat="false" ht="15" hidden="false" customHeight="false" outlineLevel="0" collapsed="false">
      <c r="A1" s="1" t="s">
        <v>269</v>
      </c>
    </row>
    <row r="2" customFormat="false" ht="15" hidden="false" customHeight="false" outlineLevel="0" collapsed="false">
      <c r="A2" s="2" t="s">
        <v>1</v>
      </c>
    </row>
    <row r="4" customFormat="false" ht="15" hidden="false" customHeight="false" outlineLevel="0" collapsed="false">
      <c r="A4" s="3"/>
      <c r="B4" s="4" t="s">
        <v>270</v>
      </c>
      <c r="C4" s="4" t="s">
        <v>271</v>
      </c>
      <c r="D4" s="4" t="s">
        <v>272</v>
      </c>
      <c r="E4" s="4" t="s">
        <v>4</v>
      </c>
    </row>
    <row r="5" customFormat="false" ht="15" hidden="false" customHeight="false" outlineLevel="0" collapsed="false">
      <c r="A5" s="0" t="s">
        <v>273</v>
      </c>
      <c r="B5" s="33" t="n">
        <v>135</v>
      </c>
      <c r="C5" s="20" t="n">
        <f aca="false">Assumptions!$B$36</f>
        <v>152</v>
      </c>
      <c r="D5" s="33" t="n">
        <v>175</v>
      </c>
      <c r="E5" s="0" t="s">
        <v>274</v>
      </c>
    </row>
    <row r="6" customFormat="false" ht="15" hidden="false" customHeight="false" outlineLevel="0" collapsed="false">
      <c r="A6" s="0" t="s">
        <v>211</v>
      </c>
      <c r="B6" s="34" t="n">
        <v>0.5</v>
      </c>
      <c r="C6" s="10" t="n">
        <f aca="false">Assumptions!$B$38</f>
        <v>0.56</v>
      </c>
      <c r="D6" s="34" t="n">
        <v>0.6</v>
      </c>
    </row>
    <row r="7" customFormat="false" ht="15" hidden="false" customHeight="false" outlineLevel="0" collapsed="false">
      <c r="A7" s="0" t="s">
        <v>275</v>
      </c>
      <c r="B7" s="34" t="n">
        <v>0</v>
      </c>
      <c r="C7" s="10" t="n">
        <f aca="false">Assumptions!$B$39</f>
        <v>0.04</v>
      </c>
      <c r="D7" s="34" t="n">
        <v>0.06</v>
      </c>
    </row>
    <row r="8" customFormat="false" ht="15" hidden="false" customHeight="false" outlineLevel="0" collapsed="false">
      <c r="A8" s="0" t="s">
        <v>276</v>
      </c>
      <c r="B8" s="33" t="n">
        <v>17</v>
      </c>
      <c r="C8" s="20" t="n">
        <f aca="false">Assumptions!$B$42</f>
        <v>20</v>
      </c>
      <c r="D8" s="33" t="n">
        <v>22</v>
      </c>
    </row>
    <row r="9" customFormat="false" ht="15" hidden="false" customHeight="false" outlineLevel="0" collapsed="false">
      <c r="A9" s="0" t="s">
        <v>277</v>
      </c>
      <c r="B9" s="35" t="n">
        <v>16</v>
      </c>
      <c r="C9" s="27" t="n">
        <f aca="false">Assumptions!$B$53</f>
        <v>18</v>
      </c>
      <c r="D9" s="35" t="n">
        <v>20</v>
      </c>
    </row>
    <row r="10" customFormat="false" ht="15" hidden="false" customHeight="false" outlineLevel="0" collapsed="false">
      <c r="A10" s="0" t="s">
        <v>278</v>
      </c>
      <c r="B10" s="35" t="n">
        <v>20</v>
      </c>
      <c r="C10" s="27" t="n">
        <f aca="false">Assumptions!$B$54</f>
        <v>28</v>
      </c>
      <c r="D10" s="35" t="n">
        <v>36</v>
      </c>
    </row>
    <row r="11" customFormat="false" ht="15" hidden="false" customHeight="false" outlineLevel="0" collapsed="false">
      <c r="A11" s="0" t="s">
        <v>279</v>
      </c>
      <c r="B11" s="36" t="n">
        <v>0.25</v>
      </c>
      <c r="C11" s="36" t="n">
        <v>0.5</v>
      </c>
      <c r="D11" s="36" t="n">
        <v>0.25</v>
      </c>
    </row>
    <row r="12" customFormat="false" ht="15" hidden="false" customHeight="false" outlineLevel="0" collapsed="false">
      <c r="A12" s="22" t="s">
        <v>280</v>
      </c>
      <c r="B12" s="20" t="n">
        <f aca="false">Forecast!$D$5+Forecast!$D$6+Forecast!$D$7+B5</f>
        <v>1815.634</v>
      </c>
      <c r="C12" s="20" t="n">
        <f aca="false">Forecast!$D$5+Forecast!$D$6+Forecast!$D$7+C5</f>
        <v>1832.634</v>
      </c>
      <c r="D12" s="20" t="n">
        <f aca="false">Forecast!$D$5+Forecast!$D$6+Forecast!$D$7+D5</f>
        <v>1855.634</v>
      </c>
    </row>
    <row r="13" customFormat="false" ht="15" hidden="false" customHeight="false" outlineLevel="0" collapsed="false">
      <c r="A13" s="22" t="s">
        <v>281</v>
      </c>
      <c r="B13" s="20" t="n">
        <f aca="false">Forecast!$D$15+Forecast!$D$17</f>
        <v>-66</v>
      </c>
      <c r="C13" s="20" t="n">
        <f aca="false">Forecast!$D$15+Forecast!$D$17</f>
        <v>-66</v>
      </c>
      <c r="D13" s="20" t="n">
        <f aca="false">Forecast!$D$15+Forecast!$D$17</f>
        <v>-66</v>
      </c>
    </row>
    <row r="14" customFormat="false" ht="15" hidden="false" customHeight="false" outlineLevel="0" collapsed="false">
      <c r="A14" s="22" t="s">
        <v>282</v>
      </c>
      <c r="B14" s="21" t="n">
        <f aca="false">B5*B6+B13*B5/B12</f>
        <v>62.5926232930205</v>
      </c>
      <c r="C14" s="21" t="n">
        <f aca="false">C5*C6+C13*C5/C12</f>
        <v>79.645911884206</v>
      </c>
      <c r="D14" s="21" t="n">
        <f aca="false">D5*D6+D13*D5/D12</f>
        <v>98.775712236357</v>
      </c>
    </row>
    <row r="15" customFormat="false" ht="15" hidden="false" customHeight="false" outlineLevel="0" collapsed="false">
      <c r="A15" s="22" t="s">
        <v>283</v>
      </c>
      <c r="B15" s="20" t="n">
        <f aca="false">Assumptions!$B$23*(1+B7)+B8+Assumptions!$B$43+Assumptions!$B$44+B13*(1-B5/B12)</f>
        <v>121.407376706979</v>
      </c>
      <c r="C15" s="20" t="n">
        <f aca="false">Assumptions!$B$23*(1+C7)+C8+Assumptions!$B$43+Assumptions!$B$44+C13*(1-C5/C12)</f>
        <v>131.294088115794</v>
      </c>
      <c r="D15" s="20" t="n">
        <f aca="false">Assumptions!$B$23*(1+D7)+D8+Assumptions!$B$43+Assumptions!$B$44+D13*(1-D5/D12)</f>
        <v>137.204287763643</v>
      </c>
    </row>
    <row r="16" customFormat="false" ht="15" hidden="false" customHeight="false" outlineLevel="0" collapsed="false">
      <c r="A16" s="22" t="s">
        <v>233</v>
      </c>
      <c r="B16" s="21" t="n">
        <f aca="false">B15*B9+B14*B10</f>
        <v>3194.37049317208</v>
      </c>
      <c r="C16" s="21" t="n">
        <f aca="false">C15*C9+C14*C10</f>
        <v>4593.37911884206</v>
      </c>
      <c r="D16" s="21" t="n">
        <f aca="false">D15*D9+D14*D10</f>
        <v>6300.01139578171</v>
      </c>
    </row>
    <row r="17" customFormat="false" ht="15" hidden="false" customHeight="false" outlineLevel="0" collapsed="false">
      <c r="A17" s="5" t="s">
        <v>284</v>
      </c>
      <c r="B17" s="37" t="n">
        <f aca="false">(B16-Assumptions!$B$58-Assumptions!$B$21)/Assumptions!$B$57*1000</f>
        <v>2897.79495138101</v>
      </c>
      <c r="C17" s="37" t="n">
        <f aca="false">(C16-Assumptions!$B$58-Assumptions!$B$21)/Assumptions!$B$57*1000</f>
        <v>4369.00320909982</v>
      </c>
      <c r="D17" s="37" t="n">
        <f aca="false">(D16-Assumptions!$B$58-Assumptions!$B$21)/Assumptions!$B$57*1000</f>
        <v>6163.71087040582</v>
      </c>
    </row>
    <row r="18" customFormat="false" ht="15" hidden="false" customHeight="false" outlineLevel="0" collapsed="false">
      <c r="A18" s="22" t="s">
        <v>285</v>
      </c>
      <c r="B18" s="25" t="n">
        <f aca="false">B17/Assumptions!$B$7-1</f>
        <v>-0.457950813434155</v>
      </c>
      <c r="C18" s="25" t="n">
        <f aca="false">C17/Assumptions!$B$7-1</f>
        <v>-0.182752860250688</v>
      </c>
      <c r="D18" s="25" t="n">
        <f aca="false">D17/Assumptions!$B$7-1</f>
        <v>0.152957514105091</v>
      </c>
    </row>
    <row r="20" customFormat="false" ht="15" hidden="false" customHeight="false" outlineLevel="0" collapsed="false">
      <c r="A20" s="5" t="s">
        <v>17</v>
      </c>
      <c r="B20" s="37" t="n">
        <f aca="false">SUMPRODUCT(B17:D17,B11:D11)</f>
        <v>4449.87805999662</v>
      </c>
    </row>
    <row r="21" customFormat="false" ht="15" hidden="false" customHeight="false" outlineLevel="0" collapsed="false">
      <c r="A21" s="0" t="s">
        <v>286</v>
      </c>
      <c r="B21" s="25" t="n">
        <f aca="false">B20/Assumptions!$B$7-1</f>
        <v>-0.16762475495761</v>
      </c>
    </row>
    <row r="22" customFormat="false" ht="15" hidden="false" customHeight="false" outlineLevel="0" collapsed="false">
      <c r="A22" s="0" t="s">
        <v>287</v>
      </c>
      <c r="B22" s="38" t="n">
        <f aca="false">SUM(B11:D11)</f>
        <v>1</v>
      </c>
    </row>
    <row r="23" customFormat="false" ht="15" hidden="false" customHeight="false" outlineLevel="0" collapsed="false">
      <c r="A23" s="0" t="s">
        <v>288</v>
      </c>
      <c r="B23" s="39" t="n">
        <f aca="false">C17-SOTP!B18</f>
        <v>0</v>
      </c>
    </row>
    <row r="25" customFormat="false" ht="15" hidden="false" customHeight="false" outlineLevel="0" collapsed="false">
      <c r="A25" s="12" t="s">
        <v>289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40"/>
    <col collapsed="false" customWidth="true" hidden="false" outlineLevel="0" max="4" min="2" style="0" width="14"/>
  </cols>
  <sheetData>
    <row r="1" customFormat="false" ht="15" hidden="false" customHeight="false" outlineLevel="0" collapsed="false">
      <c r="A1" s="1" t="s">
        <v>290</v>
      </c>
    </row>
    <row r="2" customFormat="false" ht="15" hidden="false" customHeight="false" outlineLevel="0" collapsed="false">
      <c r="A2" s="2" t="s">
        <v>1</v>
      </c>
    </row>
    <row r="4" customFormat="false" ht="15" hidden="false" customHeight="false" outlineLevel="0" collapsed="false">
      <c r="A4" s="3" t="s">
        <v>291</v>
      </c>
      <c r="B4" s="4" t="s">
        <v>292</v>
      </c>
      <c r="C4" s="4" t="s">
        <v>293</v>
      </c>
      <c r="D4" s="4" t="s">
        <v>294</v>
      </c>
    </row>
    <row r="5" customFormat="false" ht="15" hidden="false" customHeight="false" outlineLevel="0" collapsed="false">
      <c r="A5" s="23" t="n">
        <v>135</v>
      </c>
      <c r="B5" s="31" t="n">
        <f aca="false">((Forecast!$D$10+Forecast!$D$11+Forecast!$D$12+Forecast!$D$13+(Forecast!$D$15+Forecast!$D$17)*(1-$A5/(Forecast!$D$5+Forecast!$D$6+Forecast!$D$7+$A5)))*Assumptions!$B$53+($A5*Assumptions!$B$38+(Forecast!$D$15+Forecast!$D$17)*$A5/(Forecast!$D$5+Forecast!$D$6+Forecast!$D$7+$A5))*20-Assumptions!$B$58-Assumptions!$B$21)/Assumptions!$B$57*1000</f>
        <v>3499.91897687122</v>
      </c>
      <c r="C5" s="31" t="n">
        <f aca="false">((Forecast!$D$10+Forecast!$D$11+Forecast!$D$12+Forecast!$D$13+(Forecast!$D$15+Forecast!$D$17)*(1-$A5/(Forecast!$D$5+Forecast!$D$6+Forecast!$D$7+$A5)))*Assumptions!$B$53+($A5*Assumptions!$B$38+(Forecast!$D$15+Forecast!$D$17)*$A5/(Forecast!$D$5+Forecast!$D$6+Forecast!$D$7+$A5))*28-Assumptions!$B$58-Assumptions!$B$21)/Assumptions!$B$57*1000</f>
        <v>4094.64623867743</v>
      </c>
      <c r="D5" s="31" t="n">
        <f aca="false">((Forecast!$D$10+Forecast!$D$11+Forecast!$D$12+Forecast!$D$13+(Forecast!$D$15+Forecast!$D$17)*(1-$A5/(Forecast!$D$5+Forecast!$D$6+Forecast!$D$7+$A5)))*Assumptions!$B$53+($A5*Assumptions!$B$38+(Forecast!$D$15+Forecast!$D$17)*$A5/(Forecast!$D$5+Forecast!$D$6+Forecast!$D$7+$A5))*36-Assumptions!$B$58-Assumptions!$B$21)/Assumptions!$B$57*1000</f>
        <v>4689.37350048364</v>
      </c>
    </row>
    <row r="6" customFormat="false" ht="15" hidden="false" customHeight="false" outlineLevel="0" collapsed="false">
      <c r="A6" s="23" t="n">
        <v>152</v>
      </c>
      <c r="B6" s="31" t="n">
        <f aca="false">((Forecast!$D$10+Forecast!$D$11+Forecast!$D$12+Forecast!$D$13+(Forecast!$D$15+Forecast!$D$17)*(1-$A6/(Forecast!$D$5+Forecast!$D$6+Forecast!$D$7+$A6)))*Assumptions!$B$53+($A6*Assumptions!$B$38+(Forecast!$D$15+Forecast!$D$17)*$A6/(Forecast!$D$5+Forecast!$D$6+Forecast!$D$7+$A6))*20-Assumptions!$B$58-Assumptions!$B$21)/Assumptions!$B$57*1000</f>
        <v>3698.95316876373</v>
      </c>
      <c r="C6" s="31" t="n">
        <f aca="false">((Forecast!$D$10+Forecast!$D$11+Forecast!$D$12+Forecast!$D$13+(Forecast!$D$15+Forecast!$D$17)*(1-$A6/(Forecast!$D$5+Forecast!$D$6+Forecast!$D$7+$A6)))*Assumptions!$B$53+($A6*Assumptions!$B$38+(Forecast!$D$15+Forecast!$D$17)*$A6/(Forecast!$D$5+Forecast!$D$6+Forecast!$D$7+$A6))*28-Assumptions!$B$58-Assumptions!$B$21)/Assumptions!$B$57*1000</f>
        <v>4369.00320909982</v>
      </c>
      <c r="D6" s="31" t="n">
        <f aca="false">((Forecast!$D$10+Forecast!$D$11+Forecast!$D$12+Forecast!$D$13+(Forecast!$D$15+Forecast!$D$17)*(1-$A6/(Forecast!$D$5+Forecast!$D$6+Forecast!$D$7+$A6)))*Assumptions!$B$53+($A6*Assumptions!$B$38+(Forecast!$D$15+Forecast!$D$17)*$A6/(Forecast!$D$5+Forecast!$D$6+Forecast!$D$7+$A6))*36-Assumptions!$B$58-Assumptions!$B$21)/Assumptions!$B$57*1000</f>
        <v>5039.05324943592</v>
      </c>
    </row>
    <row r="7" customFormat="false" ht="15" hidden="false" customHeight="false" outlineLevel="0" collapsed="false">
      <c r="A7" s="23" t="n">
        <v>175</v>
      </c>
      <c r="B7" s="31" t="n">
        <f aca="false">((Forecast!$D$10+Forecast!$D$11+Forecast!$D$12+Forecast!$D$13+(Forecast!$D$15+Forecast!$D$17)*(1-$A7/(Forecast!$D$5+Forecast!$D$6+Forecast!$D$7+$A7)))*Assumptions!$B$53+($A7*Assumptions!$B$38+(Forecast!$D$15+Forecast!$D$17)*$A7/(Forecast!$D$5+Forecast!$D$6+Forecast!$D$7+$A7))*20-Assumptions!$B$58-Assumptions!$B$21)/Assumptions!$B$57*1000</f>
        <v>3968.26948350355</v>
      </c>
      <c r="C7" s="31" t="n">
        <f aca="false">((Forecast!$D$10+Forecast!$D$11+Forecast!$D$12+Forecast!$D$13+(Forecast!$D$15+Forecast!$D$17)*(1-$A7/(Forecast!$D$5+Forecast!$D$6+Forecast!$D$7+$A7)))*Assumptions!$B$53+($A7*Assumptions!$B$38+(Forecast!$D$15+Forecast!$D$17)*$A7/(Forecast!$D$5+Forecast!$D$6+Forecast!$D$7+$A7))*28-Assumptions!$B$58-Assumptions!$B$21)/Assumptions!$B$57*1000</f>
        <v>4740.36585645046</v>
      </c>
      <c r="D7" s="31" t="n">
        <f aca="false">((Forecast!$D$10+Forecast!$D$11+Forecast!$D$12+Forecast!$D$13+(Forecast!$D$15+Forecast!$D$17)*(1-$A7/(Forecast!$D$5+Forecast!$D$6+Forecast!$D$7+$A7)))*Assumptions!$B$53+($A7*Assumptions!$B$38+(Forecast!$D$15+Forecast!$D$17)*$A7/(Forecast!$D$5+Forecast!$D$6+Forecast!$D$7+$A7))*36-Assumptions!$B$58-Assumptions!$B$21)/Assumptions!$B$57*1000</f>
        <v>5512.46222939737</v>
      </c>
    </row>
    <row r="9" customFormat="false" ht="15" hidden="false" customHeight="false" outlineLevel="0" collapsed="false">
      <c r="A9" s="0" t="s">
        <v>295</v>
      </c>
      <c r="B9" s="40" t="n">
        <f aca="false">COUNTIF(B5:D7,"&gt;"&amp;Assumptions!$B$7)</f>
        <v>1</v>
      </c>
    </row>
    <row r="10" customFormat="false" ht="15" hidden="false" customHeight="false" outlineLevel="0" collapsed="false">
      <c r="A10" s="0" t="s">
        <v>296</v>
      </c>
      <c r="B10" s="40" t="n">
        <f aca="false">COUNTIF(B5:D7,"&gt;="&amp;Assumptions!$B$7*1.15)</f>
        <v>0</v>
      </c>
    </row>
    <row r="11" customFormat="false" ht="15" hidden="false" customHeight="false" outlineLevel="0" collapsed="false">
      <c r="A11" s="0" t="s">
        <v>297</v>
      </c>
      <c r="B11" s="40" t="n">
        <f aca="false">COUNTIF(B5:D7,"&lt;="&amp;Assumptions!$B$7*0.75)</f>
        <v>3</v>
      </c>
    </row>
    <row r="12" customFormat="false" ht="15" hidden="false" customHeight="false" outlineLevel="0" collapsed="false">
      <c r="A12" s="0" t="s">
        <v>298</v>
      </c>
      <c r="B12" s="39" t="n">
        <f aca="false">C6-SOTP!B18</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2"/>
    <col collapsed="false" customWidth="true" hidden="false" outlineLevel="0" max="2" min="2" style="0" width="16"/>
    <col collapsed="false" customWidth="true" hidden="false" outlineLevel="0" max="3" min="3" style="0" width="10"/>
    <col collapsed="false" customWidth="true" hidden="false" outlineLevel="0" max="5" min="4" style="0" width="16"/>
    <col collapsed="false" customWidth="true" hidden="false" outlineLevel="0" max="10" min="6" style="0" width="12"/>
    <col collapsed="false" customWidth="true" hidden="false" outlineLevel="0" max="11" min="11" style="0" width="46"/>
  </cols>
  <sheetData>
    <row r="1" customFormat="false" ht="15" hidden="false" customHeight="false" outlineLevel="0" collapsed="false">
      <c r="A1" s="1" t="s">
        <v>299</v>
      </c>
    </row>
    <row r="2" customFormat="false" ht="15" hidden="false" customHeight="false" outlineLevel="0" collapsed="false">
      <c r="A2" s="2" t="s">
        <v>1</v>
      </c>
    </row>
    <row r="4" customFormat="false" ht="23.85" hidden="false" customHeight="false" outlineLevel="0" collapsed="false">
      <c r="A4" s="3" t="s">
        <v>300</v>
      </c>
      <c r="B4" s="4" t="s">
        <v>301</v>
      </c>
      <c r="C4" s="4" t="s">
        <v>302</v>
      </c>
      <c r="D4" s="4" t="s">
        <v>303</v>
      </c>
      <c r="E4" s="4" t="s">
        <v>304</v>
      </c>
      <c r="F4" s="4" t="s">
        <v>305</v>
      </c>
      <c r="G4" s="4" t="s">
        <v>43</v>
      </c>
      <c r="H4" s="4" t="s">
        <v>306</v>
      </c>
      <c r="I4" s="4" t="s">
        <v>307</v>
      </c>
      <c r="J4" s="4" t="s">
        <v>308</v>
      </c>
      <c r="K4" s="4" t="s">
        <v>309</v>
      </c>
    </row>
    <row r="5" customFormat="false" ht="15" hidden="false" customHeight="false" outlineLevel="0" collapsed="false">
      <c r="A5" s="0" t="s">
        <v>310</v>
      </c>
      <c r="B5" s="0" t="s">
        <v>311</v>
      </c>
      <c r="C5" s="0" t="s">
        <v>312</v>
      </c>
      <c r="D5" s="23" t="n">
        <v>1590.439</v>
      </c>
      <c r="E5" s="41" t="n">
        <v>84.183</v>
      </c>
      <c r="F5" s="0" t="s">
        <v>313</v>
      </c>
      <c r="G5" s="42" t="n">
        <v>1742</v>
      </c>
      <c r="H5" s="32" t="n">
        <f aca="false">D5/E5</f>
        <v>18.8926386562608</v>
      </c>
      <c r="I5" s="42" t="n">
        <v>71.38</v>
      </c>
      <c r="J5" s="32" t="n">
        <f aca="false">G5/I5</f>
        <v>24.4045951246848</v>
      </c>
      <c r="K5" s="0" t="s">
        <v>314</v>
      </c>
    </row>
    <row r="6" customFormat="false" ht="15" hidden="false" customHeight="false" outlineLevel="0" collapsed="false">
      <c r="A6" s="0" t="s">
        <v>315</v>
      </c>
      <c r="B6" s="0" t="s">
        <v>316</v>
      </c>
      <c r="C6" s="0" t="s">
        <v>312</v>
      </c>
      <c r="D6" s="23" t="n">
        <v>250.288</v>
      </c>
      <c r="E6" s="41" t="n">
        <v>14.756</v>
      </c>
      <c r="F6" s="0" t="s">
        <v>317</v>
      </c>
      <c r="G6" s="42" t="n">
        <v>75.15</v>
      </c>
      <c r="H6" s="32" t="n">
        <f aca="false">D6/E6</f>
        <v>16.961778259691</v>
      </c>
      <c r="I6" s="42" t="n">
        <v>3.804</v>
      </c>
      <c r="J6" s="32" t="n">
        <f aca="false">G6/I6</f>
        <v>19.7555205047319</v>
      </c>
      <c r="K6" s="0" t="s">
        <v>318</v>
      </c>
    </row>
    <row r="7" customFormat="false" ht="15" hidden="false" customHeight="false" outlineLevel="0" collapsed="false">
      <c r="A7" s="0" t="s">
        <v>319</v>
      </c>
      <c r="B7" s="0" t="s">
        <v>320</v>
      </c>
      <c r="C7" s="0" t="s">
        <v>312</v>
      </c>
      <c r="D7" s="23" t="n">
        <v>42.444</v>
      </c>
      <c r="E7" s="41" t="n">
        <v>3.911</v>
      </c>
      <c r="F7" s="0" t="s">
        <v>317</v>
      </c>
      <c r="G7" s="42" t="n">
        <v>22.03</v>
      </c>
      <c r="H7" s="32" t="n">
        <f aca="false">D7/E7</f>
        <v>10.852467399642</v>
      </c>
      <c r="J7" s="0" t="s">
        <v>321</v>
      </c>
      <c r="K7" s="0" t="s">
        <v>322</v>
      </c>
    </row>
    <row r="8" customFormat="false" ht="15" hidden="false" customHeight="false" outlineLevel="0" collapsed="false">
      <c r="A8" s="0" t="s">
        <v>323</v>
      </c>
      <c r="B8" s="0" t="s">
        <v>324</v>
      </c>
      <c r="C8" s="0" t="s">
        <v>325</v>
      </c>
      <c r="D8" s="23" t="n">
        <v>4075.462</v>
      </c>
      <c r="E8" s="41" t="n">
        <v>166.66</v>
      </c>
      <c r="F8" s="0" t="s">
        <v>317</v>
      </c>
      <c r="G8" s="42" t="n">
        <v>18075</v>
      </c>
      <c r="H8" s="32" t="n">
        <f aca="false">D8/E8</f>
        <v>24.453750150006</v>
      </c>
      <c r="I8" s="42" t="n">
        <v>581.06</v>
      </c>
      <c r="J8" s="32" t="n">
        <f aca="false">G8/I8</f>
        <v>31.106942484425</v>
      </c>
      <c r="K8" s="0" t="s">
        <v>326</v>
      </c>
    </row>
    <row r="9" customFormat="false" ht="15" hidden="false" customHeight="false" outlineLevel="0" collapsed="false">
      <c r="A9" s="0" t="s">
        <v>327</v>
      </c>
      <c r="B9" s="0" t="s">
        <v>328</v>
      </c>
      <c r="C9" s="0" t="s">
        <v>325</v>
      </c>
      <c r="D9" s="23" t="n">
        <v>10383.784</v>
      </c>
      <c r="E9" s="41" t="n">
        <v>742.976</v>
      </c>
      <c r="F9" s="0" t="s">
        <v>313</v>
      </c>
      <c r="G9" s="42" t="n">
        <v>6234</v>
      </c>
      <c r="H9" s="32" t="n">
        <f aca="false">D9/E9</f>
        <v>13.9759346196916</v>
      </c>
      <c r="I9" s="42" t="n">
        <v>301.57</v>
      </c>
      <c r="J9" s="32" t="n">
        <f aca="false">G9/I9</f>
        <v>20.671817488477</v>
      </c>
      <c r="K9" s="0" t="s">
        <v>329</v>
      </c>
    </row>
    <row r="10" customFormat="false" ht="15" hidden="false" customHeight="false" outlineLevel="0" collapsed="false">
      <c r="A10" s="0" t="s">
        <v>330</v>
      </c>
      <c r="B10" s="0" t="s">
        <v>331</v>
      </c>
      <c r="C10" s="0" t="s">
        <v>325</v>
      </c>
      <c r="D10" s="23" t="n">
        <v>28.707</v>
      </c>
      <c r="E10" s="41" t="n">
        <v>0.8817</v>
      </c>
      <c r="F10" s="0" t="s">
        <v>317</v>
      </c>
      <c r="G10" s="42" t="n">
        <v>166.89</v>
      </c>
      <c r="H10" s="32" t="n">
        <f aca="false">D10/E10</f>
        <v>32.5586934331405</v>
      </c>
      <c r="I10" s="42" t="n">
        <v>3.93</v>
      </c>
      <c r="J10" s="32" t="n">
        <f aca="false">G10/I10</f>
        <v>42.4656488549618</v>
      </c>
      <c r="K10" s="0" t="s">
        <v>332</v>
      </c>
    </row>
    <row r="11" customFormat="false" ht="15" hidden="false" customHeight="false" outlineLevel="0" collapsed="false">
      <c r="A11" s="0" t="s">
        <v>333</v>
      </c>
      <c r="B11" s="0" t="s">
        <v>334</v>
      </c>
      <c r="C11" s="0" t="s">
        <v>335</v>
      </c>
      <c r="D11" s="23" t="n">
        <v>1142.689</v>
      </c>
      <c r="E11" s="41" t="n">
        <v>113.38</v>
      </c>
      <c r="F11" s="0" t="s">
        <v>313</v>
      </c>
      <c r="G11" s="42" t="n">
        <v>2535</v>
      </c>
      <c r="H11" s="32" t="n">
        <f aca="false">D11/E11</f>
        <v>10.0784000705592</v>
      </c>
      <c r="I11" s="42" t="n">
        <v>195.28</v>
      </c>
      <c r="J11" s="32" t="n">
        <f aca="false">G11/I11</f>
        <v>12.9813600983204</v>
      </c>
      <c r="K11" s="0" t="s">
        <v>336</v>
      </c>
    </row>
    <row r="12" customFormat="false" ht="15" hidden="false" customHeight="false" outlineLevel="0" collapsed="false">
      <c r="A12" s="0" t="s">
        <v>337</v>
      </c>
      <c r="B12" s="0" t="s">
        <v>338</v>
      </c>
      <c r="C12" s="0" t="s">
        <v>339</v>
      </c>
      <c r="D12" s="20" t="n">
        <f aca="false">Assumptions!$B$17</f>
        <v>5541.872</v>
      </c>
      <c r="E12" s="43" t="n">
        <f aca="false">Assumptions!$B$15</f>
        <v>206.59</v>
      </c>
      <c r="F12" s="0" t="s">
        <v>313</v>
      </c>
      <c r="G12" s="19" t="n">
        <f aca="false">Assumptions!$B$7</f>
        <v>5346</v>
      </c>
      <c r="H12" s="32" t="n">
        <f aca="false">D12/E12</f>
        <v>26.8254610581345</v>
      </c>
      <c r="I12" s="19" t="n">
        <f aca="false">Assumptions!$B$14</f>
        <v>146.08</v>
      </c>
      <c r="J12" s="32" t="n">
        <f aca="false">G12/I12</f>
        <v>36.5963855421687</v>
      </c>
      <c r="K12" s="0" t="s">
        <v>340</v>
      </c>
    </row>
    <row r="13" customFormat="false" ht="15" hidden="false" customHeight="false" outlineLevel="0" collapsed="false">
      <c r="A13" s="5" t="s">
        <v>341</v>
      </c>
      <c r="H13" s="44" t="n">
        <f aca="false">MEDIAN(H5:H7)</f>
        <v>16.961778259691</v>
      </c>
    </row>
    <row r="14" customFormat="false" ht="15" hidden="false" customHeight="false" outlineLevel="0" collapsed="false">
      <c r="A14" s="5" t="s">
        <v>342</v>
      </c>
      <c r="H14" s="44" t="n">
        <f aca="false">MEDIAN(H8:H10)</f>
        <v>24.453750150006</v>
      </c>
    </row>
    <row r="16" customFormat="false" ht="15" hidden="false" customHeight="false" outlineLevel="0" collapsed="false">
      <c r="A16" s="12" t="s">
        <v>343</v>
      </c>
    </row>
    <row r="17" customFormat="false" ht="15" hidden="false" customHeight="false" outlineLevel="0" collapsed="false">
      <c r="A17" s="12" t="s">
        <v>344</v>
      </c>
    </row>
    <row r="18" customFormat="false" ht="15" hidden="false" customHeight="false" outlineLevel="0" collapsed="false">
      <c r="A18" s="12" t="s">
        <v>345</v>
      </c>
    </row>
    <row r="19" customFormat="false" ht="15" hidden="false" customHeight="false" outlineLevel="0" collapsed="false">
      <c r="A19" s="12" t="s">
        <v>346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6"/>
    <col collapsed="false" customWidth="true" hidden="false" outlineLevel="0" max="2" min="2" style="0" width="14"/>
  </cols>
  <sheetData>
    <row r="1" customFormat="false" ht="15" hidden="false" customHeight="false" outlineLevel="0" collapsed="false">
      <c r="A1" s="1" t="s">
        <v>347</v>
      </c>
    </row>
    <row r="2" customFormat="false" ht="15" hidden="false" customHeight="false" outlineLevel="0" collapsed="false">
      <c r="A2" s="2" t="s">
        <v>1</v>
      </c>
    </row>
    <row r="4" customFormat="false" ht="15" hidden="false" customHeight="false" outlineLevel="0" collapsed="false">
      <c r="A4" s="3" t="s">
        <v>348</v>
      </c>
      <c r="B4" s="4" t="s">
        <v>349</v>
      </c>
    </row>
    <row r="5" customFormat="false" ht="15" hidden="false" customHeight="false" outlineLevel="0" collapsed="false">
      <c r="A5" s="0" t="s">
        <v>350</v>
      </c>
      <c r="B5" s="23" t="n">
        <v>2740</v>
      </c>
    </row>
    <row r="6" customFormat="false" ht="15" hidden="false" customHeight="false" outlineLevel="0" collapsed="false">
      <c r="A6" s="0" t="s">
        <v>351</v>
      </c>
      <c r="B6" s="23" t="n">
        <v>2763</v>
      </c>
    </row>
    <row r="7" customFormat="false" ht="15" hidden="false" customHeight="false" outlineLevel="0" collapsed="false">
      <c r="A7" s="0" t="s">
        <v>352</v>
      </c>
      <c r="B7" s="23" t="n">
        <v>2720</v>
      </c>
    </row>
    <row r="8" customFormat="false" ht="15" hidden="false" customHeight="false" outlineLevel="0" collapsed="false">
      <c r="A8" s="0" t="s">
        <v>353</v>
      </c>
      <c r="B8" s="23" t="n">
        <v>3043.5</v>
      </c>
    </row>
    <row r="9" customFormat="false" ht="15" hidden="false" customHeight="false" outlineLevel="0" collapsed="false">
      <c r="A9" s="0" t="s">
        <v>354</v>
      </c>
      <c r="B9" s="23" t="n">
        <v>2751.5</v>
      </c>
    </row>
    <row r="10" customFormat="false" ht="15" hidden="false" customHeight="false" outlineLevel="0" collapsed="false">
      <c r="A10" s="0" t="s">
        <v>355</v>
      </c>
      <c r="B10" s="23" t="n">
        <v>2830</v>
      </c>
    </row>
    <row r="11" customFormat="false" ht="15" hidden="false" customHeight="false" outlineLevel="0" collapsed="false">
      <c r="A11" s="0" t="s">
        <v>356</v>
      </c>
      <c r="B11" s="23" t="n">
        <v>2937.5</v>
      </c>
    </row>
    <row r="12" customFormat="false" ht="15" hidden="false" customHeight="false" outlineLevel="0" collapsed="false">
      <c r="A12" s="0" t="s">
        <v>357</v>
      </c>
      <c r="B12" s="23" t="n">
        <v>2802.5</v>
      </c>
    </row>
    <row r="13" customFormat="false" ht="15" hidden="false" customHeight="false" outlineLevel="0" collapsed="false">
      <c r="A13" s="0" t="s">
        <v>358</v>
      </c>
      <c r="B13" s="23" t="n">
        <v>2820.5</v>
      </c>
    </row>
    <row r="14" customFormat="false" ht="15" hidden="false" customHeight="false" outlineLevel="0" collapsed="false">
      <c r="A14" s="0" t="s">
        <v>359</v>
      </c>
      <c r="B14" s="23" t="n">
        <v>3115.5</v>
      </c>
    </row>
    <row r="15" customFormat="false" ht="15" hidden="false" customHeight="false" outlineLevel="0" collapsed="false">
      <c r="A15" s="0" t="s">
        <v>360</v>
      </c>
      <c r="B15" s="23" t="n">
        <v>2798.5</v>
      </c>
    </row>
    <row r="16" customFormat="false" ht="15" hidden="false" customHeight="false" outlineLevel="0" collapsed="false">
      <c r="A16" s="0" t="s">
        <v>361</v>
      </c>
      <c r="B16" s="23" t="n">
        <v>2773</v>
      </c>
    </row>
    <row r="17" customFormat="false" ht="15" hidden="false" customHeight="false" outlineLevel="0" collapsed="false">
      <c r="A17" s="0" t="s">
        <v>362</v>
      </c>
      <c r="B17" s="23" t="n">
        <v>2952</v>
      </c>
    </row>
    <row r="18" customFormat="false" ht="15" hidden="false" customHeight="false" outlineLevel="0" collapsed="false">
      <c r="A18" s="0" t="s">
        <v>363</v>
      </c>
      <c r="B18" s="23" t="n">
        <v>3141</v>
      </c>
    </row>
    <row r="19" customFormat="false" ht="15" hidden="false" customHeight="false" outlineLevel="0" collapsed="false">
      <c r="A19" s="0" t="s">
        <v>364</v>
      </c>
      <c r="B19" s="23" t="n">
        <v>3226</v>
      </c>
    </row>
    <row r="20" customFormat="false" ht="15" hidden="false" customHeight="false" outlineLevel="0" collapsed="false">
      <c r="A20" s="0" t="s">
        <v>365</v>
      </c>
      <c r="B20" s="23" t="n">
        <v>3122.5</v>
      </c>
    </row>
    <row r="21" customFormat="false" ht="15" hidden="false" customHeight="false" outlineLevel="0" collapsed="false">
      <c r="A21" s="0" t="s">
        <v>366</v>
      </c>
      <c r="B21" s="23" t="n">
        <v>3002.5</v>
      </c>
    </row>
    <row r="22" customFormat="false" ht="15" hidden="false" customHeight="false" outlineLevel="0" collapsed="false">
      <c r="A22" s="0" t="s">
        <v>367</v>
      </c>
      <c r="B22" s="23" t="n">
        <v>2958.5</v>
      </c>
    </row>
    <row r="23" customFormat="false" ht="15" hidden="false" customHeight="false" outlineLevel="0" collapsed="false">
      <c r="A23" s="0" t="s">
        <v>368</v>
      </c>
      <c r="B23" s="23" t="n">
        <v>2916</v>
      </c>
    </row>
    <row r="24" customFormat="false" ht="15" hidden="false" customHeight="false" outlineLevel="0" collapsed="false">
      <c r="A24" s="0" t="s">
        <v>369</v>
      </c>
      <c r="B24" s="23" t="n">
        <v>3612</v>
      </c>
    </row>
    <row r="25" customFormat="false" ht="15" hidden="false" customHeight="false" outlineLevel="0" collapsed="false">
      <c r="A25" s="0" t="s">
        <v>370</v>
      </c>
      <c r="B25" s="23" t="n">
        <v>3909</v>
      </c>
    </row>
    <row r="26" customFormat="false" ht="15" hidden="false" customHeight="false" outlineLevel="0" collapsed="false">
      <c r="A26" s="0" t="s">
        <v>371</v>
      </c>
      <c r="B26" s="23" t="n">
        <v>4005</v>
      </c>
    </row>
    <row r="27" customFormat="false" ht="15" hidden="false" customHeight="false" outlineLevel="0" collapsed="false">
      <c r="A27" s="0" t="s">
        <v>372</v>
      </c>
      <c r="B27" s="23" t="n">
        <v>4009</v>
      </c>
    </row>
    <row r="28" customFormat="false" ht="15" hidden="false" customHeight="false" outlineLevel="0" collapsed="false">
      <c r="A28" s="0" t="s">
        <v>373</v>
      </c>
      <c r="B28" s="23" t="n">
        <v>4246</v>
      </c>
    </row>
    <row r="29" customFormat="false" ht="15" hidden="false" customHeight="false" outlineLevel="0" collapsed="false">
      <c r="A29" s="0" t="s">
        <v>374</v>
      </c>
      <c r="B29" s="23" t="n">
        <v>4373</v>
      </c>
    </row>
    <row r="30" customFormat="false" ht="15" hidden="false" customHeight="false" outlineLevel="0" collapsed="false">
      <c r="A30" s="0" t="s">
        <v>375</v>
      </c>
      <c r="B30" s="23" t="n">
        <v>3623</v>
      </c>
    </row>
    <row r="31" customFormat="false" ht="15" hidden="false" customHeight="false" outlineLevel="0" collapsed="false">
      <c r="A31" s="0" t="s">
        <v>376</v>
      </c>
      <c r="B31" s="23" t="n">
        <v>3317</v>
      </c>
    </row>
    <row r="32" customFormat="false" ht="15" hidden="false" customHeight="false" outlineLevel="0" collapsed="false">
      <c r="A32" s="0" t="s">
        <v>377</v>
      </c>
      <c r="B32" s="23" t="n">
        <v>3520</v>
      </c>
    </row>
    <row r="33" customFormat="false" ht="15" hidden="false" customHeight="false" outlineLevel="0" collapsed="false">
      <c r="A33" s="0" t="s">
        <v>378</v>
      </c>
      <c r="B33" s="23" t="n">
        <v>4968</v>
      </c>
    </row>
    <row r="34" customFormat="false" ht="15" hidden="false" customHeight="false" outlineLevel="0" collapsed="false">
      <c r="A34" s="0" t="s">
        <v>379</v>
      </c>
      <c r="B34" s="23" t="n">
        <v>4397</v>
      </c>
    </row>
    <row r="35" customFormat="false" ht="15" hidden="false" customHeight="false" outlineLevel="0" collapsed="false">
      <c r="A35" s="0" t="s">
        <v>380</v>
      </c>
      <c r="B35" s="23" t="n">
        <v>5090</v>
      </c>
    </row>
    <row r="36" customFormat="false" ht="15" hidden="false" customHeight="false" outlineLevel="0" collapsed="false">
      <c r="A36" s="0" t="s">
        <v>381</v>
      </c>
      <c r="B36" s="23" t="n">
        <v>5152</v>
      </c>
    </row>
    <row r="37" customFormat="false" ht="15" hidden="false" customHeight="false" outlineLevel="0" collapsed="false">
      <c r="A37" s="0" t="s">
        <v>382</v>
      </c>
      <c r="B37" s="23" t="n">
        <v>5873</v>
      </c>
    </row>
    <row r="38" customFormat="false" ht="15" hidden="false" customHeight="false" outlineLevel="0" collapsed="false">
      <c r="A38" s="0" t="s">
        <v>383</v>
      </c>
      <c r="B38" s="23" t="n">
        <v>4965</v>
      </c>
    </row>
    <row r="39" customFormat="false" ht="15" hidden="false" customHeight="false" outlineLevel="0" collapsed="false">
      <c r="A39" s="0" t="s">
        <v>384</v>
      </c>
      <c r="B39" s="23" t="n">
        <v>5402</v>
      </c>
    </row>
    <row r="40" customFormat="false" ht="15" hidden="false" customHeight="false" outlineLevel="0" collapsed="false">
      <c r="A40" s="0" t="s">
        <v>385</v>
      </c>
      <c r="B40" s="23" t="n">
        <v>5111</v>
      </c>
    </row>
    <row r="41" customFormat="false" ht="15" hidden="false" customHeight="false" outlineLevel="0" collapsed="false">
      <c r="A41" s="0" t="s">
        <v>386</v>
      </c>
      <c r="B41" s="23" t="n">
        <v>5346</v>
      </c>
    </row>
    <row r="43" customFormat="false" ht="15" hidden="false" customHeight="false" outlineLevel="0" collapsed="false">
      <c r="A43" s="12" t="s">
        <v>387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50"/>
  </cols>
  <sheetData>
    <row r="1" customFormat="false" ht="15" hidden="false" customHeight="false" outlineLevel="0" collapsed="false">
      <c r="A1" s="1" t="s">
        <v>388</v>
      </c>
    </row>
    <row r="2" customFormat="false" ht="15" hidden="false" customHeight="false" outlineLevel="0" collapsed="false">
      <c r="A2" s="2" t="s">
        <v>1</v>
      </c>
    </row>
    <row r="4" customFormat="false" ht="15" hidden="false" customHeight="false" outlineLevel="0" collapsed="false">
      <c r="A4" s="7" t="s">
        <v>389</v>
      </c>
    </row>
    <row r="5" customFormat="false" ht="23.85" hidden="false" customHeight="false" outlineLevel="0" collapsed="false">
      <c r="A5" s="7" t="s">
        <v>390</v>
      </c>
    </row>
    <row r="6" customFormat="false" ht="15" hidden="false" customHeight="false" outlineLevel="0" collapsed="false">
      <c r="A6" s="7" t="s">
        <v>391</v>
      </c>
    </row>
    <row r="7" customFormat="false" ht="15" hidden="false" customHeight="false" outlineLevel="0" collapsed="false">
      <c r="A7" s="7" t="s">
        <v>392</v>
      </c>
    </row>
    <row r="8" customFormat="false" ht="15" hidden="false" customHeight="false" outlineLevel="0" collapsed="false">
      <c r="A8" s="7" t="s">
        <v>393</v>
      </c>
    </row>
    <row r="9" customFormat="false" ht="15" hidden="false" customHeight="false" outlineLevel="0" collapsed="false">
      <c r="A9" s="7" t="s">
        <v>394</v>
      </c>
    </row>
    <row r="10" customFormat="false" ht="23.85" hidden="false" customHeight="false" outlineLevel="0" collapsed="false">
      <c r="A10" s="7" t="s">
        <v>395</v>
      </c>
    </row>
    <row r="11" customFormat="false" ht="15" hidden="false" customHeight="false" outlineLevel="0" collapsed="false">
      <c r="A11" s="7" t="s">
        <v>396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2026-10-07T12:26:38Z</dcterms:created>
  <dc:creator>openpyxl</dc:creator>
  <dc:description/>
  <dc:language>en-GB</dc:language>
  <cp:lastModifiedBy/>
  <dcterms:modified xsi:type="dcterms:W3CDTF">2026-10-07T12:26:38Z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