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Assumptions" sheetId="2" state="visible" r:id="rId4"/>
    <sheet name="Quarterly" sheetId="3" state="visible" r:id="rId5"/>
    <sheet name="Segments" sheetId="4" state="visible" r:id="rId6"/>
    <sheet name="Financials" sheetId="5" state="visible" r:id="rId7"/>
    <sheet name="Scenarios" sheetId="6" state="visible" r:id="rId8"/>
    <sheet name="DCF" sheetId="7" state="visible" r:id="rId9"/>
    <sheet name="Valuation" sheetId="8" state="visible" r:id="rId10"/>
    <sheet name="Sensitivity" sheetId="9" state="visible" r:id="rId11"/>
    <sheet name="Peers" sheetId="10" state="visible" r:id="rId12"/>
    <sheet name="Sources" sheetId="11" state="visible" r:id="rId1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<sst xmlns="http://schemas.openxmlformats.org/spreadsheetml/2006/main" count="514" uniqueCount="382">
  <si>
    <t xml:space="preserve">ASML HOLDING N.V. (EURONEXT AMSTERDAM: ASML)  INITIATION MODEL</t>
  </si>
  <si>
    <t xml:space="preserve">Tommy Lau | ASML Holding N.V. (Euronext Amsterdam: ASML; Nasdaq: ASML) | 7 October 2026 | EUR million unless stated | Personal research, not investment advice.</t>
  </si>
  <si>
    <t xml:space="preserve">Item</t>
  </si>
  <si>
    <t xml:space="preserve">Value</t>
  </si>
  <si>
    <t xml:space="preserve">Note</t>
  </si>
  <si>
    <t xml:space="preserve">Call</t>
  </si>
  <si>
    <t xml:space="preserve">Tommy Lau's call.</t>
  </si>
  <si>
    <t xml:space="preserve">Target, EUR</t>
  </si>
  <si>
    <t xml:space="preserve">None for no call.</t>
  </si>
  <si>
    <t xml:space="preserve">Conviction</t>
  </si>
  <si>
    <t xml:space="preserve">Medium</t>
  </si>
  <si>
    <t xml:space="preserve">Judgement, not formula.</t>
  </si>
  <si>
    <t xml:space="preserve">Reference price, EUR</t>
  </si>
  <si>
    <t xml:space="preserve">Euronext Amsterdam close, 6 October 2026.</t>
  </si>
  <si>
    <t xml:space="preserve">Base value, EUR</t>
  </si>
  <si>
    <t xml:space="preserve">28x 2028E diluted EPS.</t>
  </si>
  <si>
    <t xml:space="preserve">Base value against the price</t>
  </si>
  <si>
    <t xml:space="preserve">Probability-weighted value, EUR</t>
  </si>
  <si>
    <t xml:space="preserve">25 / 50 / 25 bear / base / bull.</t>
  </si>
  <si>
    <t xml:space="preserve">DCF cross-check, EUR (95% / 115% cash conversion)</t>
  </si>
  <si>
    <t xml:space="preserve">8.5% cost of equity, 3% terminal growth.</t>
  </si>
  <si>
    <t xml:space="preserve">2026E / 2027E / 2028E EPS, EUR</t>
  </si>
  <si>
    <t xml:space="preserve">Own estimates, diluted, US GAAP.</t>
  </si>
  <si>
    <t xml:space="preserve">Horizon</t>
  </si>
  <si>
    <t xml:space="preserve">12 months, to October 2027</t>
  </si>
  <si>
    <t xml:space="preserve">Tabs</t>
  </si>
  <si>
    <t xml:space="preserve">Assumptions</t>
  </si>
  <si>
    <t xml:space="preserve">Every input, with its source. Change the yellow cells to move the value.</t>
  </si>
  <si>
    <t xml:space="preserve">Quarterly</t>
  </si>
  <si>
    <t xml:space="preserve">Systems, Installed Base Management and gross margin, Q2 2025 to the Q3 2026 guide.</t>
  </si>
  <si>
    <t xml:space="preserve">Segments</t>
  </si>
  <si>
    <t xml:space="preserve">Revenue build: low NA EUV units and price, High NA, DUV and metrology, Installed Base Management; China; segment margins.</t>
  </si>
  <si>
    <t xml:space="preserve">Financials</t>
  </si>
  <si>
    <t xml:space="preserve">2024A to 2028E: income statement, EPS, P/E, consensus, free cash flow.</t>
  </si>
  <si>
    <t xml:space="preserve">Scenarios</t>
  </si>
  <si>
    <t xml:space="preserve">Bear / base / bull on 2028E and the price-implied case; probability-weighted value.</t>
  </si>
  <si>
    <t xml:space="preserve">DCF</t>
  </si>
  <si>
    <t xml:space="preserve">Cross-check at the end of 2027 and the reverse DCF.</t>
  </si>
  <si>
    <t xml:space="preserve">Valuation</t>
  </si>
  <si>
    <t xml:space="preserve">Base value, the band, revisit levels, multiples, enterprise value.</t>
  </si>
  <si>
    <t xml:space="preserve">Sensitivity</t>
  </si>
  <si>
    <t xml:space="preserve">2028 low NA units against the P/E.</t>
  </si>
  <si>
    <t xml:space="preserve">Peers</t>
  </si>
  <si>
    <t xml:space="preserve">P/E on consensus for the fiscal year ending in 2027.</t>
  </si>
  <si>
    <t xml:space="preserve">Sources</t>
  </si>
  <si>
    <t xml:space="preserve">Every source used.</t>
  </si>
  <si>
    <t xml:space="preserve">Colour key: blue = hardcoded input; yellow fill = my own assumption; green = link to another tab; black = formula.</t>
  </si>
  <si>
    <t xml:space="preserve">Companion note: 2026-10-07_ASML_Initiation.pdf. Personal research, not investment advice.</t>
  </si>
  <si>
    <t xml:space="preserve">ASSUMPTIONS AND INPUTS</t>
  </si>
  <si>
    <t xml:space="preserve">Blue = hardcoded input. Yellow fill = my own assumption (change these to move the value). Green = link to another tab. Black = formula. EUR million unless stated; per-share figures in EUR; shares in millions.</t>
  </si>
  <si>
    <t xml:space="preserve">Input</t>
  </si>
  <si>
    <t xml:space="preserve">Unit</t>
  </si>
  <si>
    <t xml:space="preserve">Source / note</t>
  </si>
  <si>
    <t xml:space="preserve">MARKET (retrieved 7 October 2026)</t>
  </si>
  <si>
    <t xml:space="preserve">Share price (Euronext Amsterdam: ASML)</t>
  </si>
  <si>
    <t xml:space="preserve">EUR</t>
  </si>
  <si>
    <t xml:space="preserve">ADR price (Nasdaq: ASML)</t>
  </si>
  <si>
    <t xml:space="preserve">US$</t>
  </si>
  <si>
    <t xml:space="preserve">Nasdaq close, 6 October 2026 (stockanalysis.com).</t>
  </si>
  <si>
    <t xml:space="preserve">EUR/USD</t>
  </si>
  <si>
    <t xml:space="preserve">rate</t>
  </si>
  <si>
    <t xml:space="preserve">ECB euro reference rate, 6 October 2026.</t>
  </si>
  <si>
    <t xml:space="preserve">EUR/JPY</t>
  </si>
  <si>
    <t xml:space="preserve">Highest close of the past year (30 June 2026)</t>
  </si>
  <si>
    <t xml:space="preserve">Euronext; intraday high EUR 1,741.00 the same day.</t>
  </si>
  <si>
    <t xml:space="preserve">Lowest close of the past year (10 October 2025)</t>
  </si>
  <si>
    <t xml:space="preserve">Euronext; intraday low EUR 812.60 on 8 October 2025.</t>
  </si>
  <si>
    <t xml:space="preserve">Close, 31 December 2024</t>
  </si>
  <si>
    <t xml:space="preserve">Euronext.</t>
  </si>
  <si>
    <t xml:space="preserve">Close, 31 December 2025</t>
  </si>
  <si>
    <t xml:space="preserve">Shares outstanding</t>
  </si>
  <si>
    <t xml:space="preserve">m</t>
  </si>
  <si>
    <t xml:space="preserve">stockanalysis.com, 7 October 2026.</t>
  </si>
  <si>
    <t xml:space="preserve">2026 consensus EPS (EUR)</t>
  </si>
  <si>
    <t xml:space="preserve">stockanalysis.com (S&amp;P Global), average of 31 EPS estimates, updated 6 October 2026.</t>
  </si>
  <si>
    <t xml:space="preserve">2026 consensus EPS for the ADR (US$)</t>
  </si>
  <si>
    <t xml:space="preserve">Zacks, 7 estimates, retrieved 7 October 2026.</t>
  </si>
  <si>
    <t xml:space="preserve">2027 consensus EPS for the ADR (US$)</t>
  </si>
  <si>
    <t xml:space="preserve">Average analyst target for the ADR (US$)</t>
  </si>
  <si>
    <t xml:space="preserve">stockanalysis.com, 42 analysts, 6 October 2026.</t>
  </si>
  <si>
    <t xml:space="preserve">REPORTED (20-F 2025; Q2 2026 6-K)</t>
  </si>
  <si>
    <t xml:space="preserve">Cash, cash equivalents and short-term investments, 28 June 2026</t>
  </si>
  <si>
    <t xml:space="preserve">EUR m</t>
  </si>
  <si>
    <t xml:space="preserve">Q2 2026 balance sheet.</t>
  </si>
  <si>
    <t xml:space="preserve">Long-term debt, 28 June 2026</t>
  </si>
  <si>
    <t xml:space="preserve">Backlog, 31 December 2025</t>
  </si>
  <si>
    <t xml:space="preserve">Q4 2025 release; ASML stopped reporting bookings after Q4 2025.</t>
  </si>
  <si>
    <t xml:space="preserve">Four customers above 10% each, share of 2025 total net sales</t>
  </si>
  <si>
    <t xml:space="preserve">%</t>
  </si>
  <si>
    <t xml:space="preserve">20-F 2025: EUR 20.0bn, 61.2%. Customers not named.</t>
  </si>
  <si>
    <t xml:space="preserve">High NA (EXE) sales per system, 2025</t>
  </si>
  <si>
    <t xml:space="preserve">20-F 2025: EUR 1,156.9m for 4 systems.</t>
  </si>
  <si>
    <t xml:space="preserve">GUIDED (Q2 2026 release and call, 15 July 2026)</t>
  </si>
  <si>
    <t xml:space="preserve">2026 total net sales guide, low</t>
  </si>
  <si>
    <t xml:space="preserve">EUR 43bn to 45bn.</t>
  </si>
  <si>
    <t xml:space="preserve">2026 total net sales guide, high</t>
  </si>
  <si>
    <t xml:space="preserve">2026 non-EUV system sales growth</t>
  </si>
  <si>
    <t xml:space="preserve">Call: around 25%.</t>
  </si>
  <si>
    <t xml:space="preserve">Low NA EUV systems shipped, 2026</t>
  </si>
  <si>
    <t xml:space="preserve">units</t>
  </si>
  <si>
    <t xml:space="preserve">Call: around 65, equal to 2026 capacity.</t>
  </si>
  <si>
    <t xml:space="preserve">Low NA EUV systems, 2027 (planned capacity)</t>
  </si>
  <si>
    <t xml:space="preserve">Release: add 30% to around 65; call: 2027 close to fully covered with orders.</t>
  </si>
  <si>
    <t xml:space="preserve">MY ASSUMPTIONS</t>
  </si>
  <si>
    <t xml:space="preserve">2026 EUV system sales growth</t>
  </si>
  <si>
    <t xml:space="preserve">MINE. Call: over 45%.</t>
  </si>
  <si>
    <t xml:space="preserve">2026 Installed Base Management growth</t>
  </si>
  <si>
    <t xml:space="preserve">MINE. Call: over 30%; H1 +28.1%; Q3 guide EUR 2.9bn (+48%).</t>
  </si>
  <si>
    <t xml:space="preserve">High NA systems recognised, 2026</t>
  </si>
  <si>
    <t xml:space="preserve">MINE. One in Q2 2026; two in Q4 2025.</t>
  </si>
  <si>
    <t xml:space="preserve">High NA systems recognised, 2027</t>
  </si>
  <si>
    <t xml:space="preserve">MINE.</t>
  </si>
  <si>
    <t xml:space="preserve">High NA systems recognised, 2028 (base)</t>
  </si>
  <si>
    <t xml:space="preserve">High NA sales per system</t>
  </si>
  <si>
    <t xml:space="preserve">MINE. 2025: EUR 289m.</t>
  </si>
  <si>
    <t xml:space="preserve">Low NA EUV systems, 2028 (base)</t>
  </si>
  <si>
    <t xml:space="preserve">MINE. ASML is investigating 110 (another +30%); 'significant number' of 2028 orders.</t>
  </si>
  <si>
    <t xml:space="preserve">Low NA sales per system, change 2027</t>
  </si>
  <si>
    <t xml:space="preserve">MINE. CFO: 2027 EUV mix 'more positive' than 2026.</t>
  </si>
  <si>
    <t xml:space="preserve">Low NA sales per system, change 2028 (base)</t>
  </si>
  <si>
    <t xml:space="preserve">Non-EUV system sales growth, 2027</t>
  </si>
  <si>
    <t xml:space="preserve">MINE. Immersion capacity +30% for 2027; China falling.</t>
  </si>
  <si>
    <t xml:space="preserve">Non-EUV system sales growth, 2028 (base)</t>
  </si>
  <si>
    <t xml:space="preserve">Installed Base Management growth, 2027</t>
  </si>
  <si>
    <t xml:space="preserve">Installed Base Management growth, 2028 (base)</t>
  </si>
  <si>
    <t xml:space="preserve">Gross margin, 2026</t>
  </si>
  <si>
    <t xml:space="preserve">MINE. Guide 54% to 56%.</t>
  </si>
  <si>
    <t xml:space="preserve">Gross margin, 2027</t>
  </si>
  <si>
    <t xml:space="preserve">MINE. Investor Day 2030 range 56% to 60%.</t>
  </si>
  <si>
    <t xml:space="preserve">Gross margin, 2028 (base)</t>
  </si>
  <si>
    <t xml:space="preserve">R&amp;D, 2026</t>
  </si>
  <si>
    <t xml:space="preserve">MINE. H1 2,461.5; Q3 guide around 1,200.</t>
  </si>
  <si>
    <t xml:space="preserve">R&amp;D, 2027</t>
  </si>
  <si>
    <t xml:space="preserve">R&amp;D, 2028</t>
  </si>
  <si>
    <t xml:space="preserve">SG&amp;A, 2026</t>
  </si>
  <si>
    <t xml:space="preserve">MINE. H1 605.0; Q3 guide around 400.</t>
  </si>
  <si>
    <t xml:space="preserve">SG&amp;A, 2027</t>
  </si>
  <si>
    <t xml:space="preserve">SG&amp;A, 2028</t>
  </si>
  <si>
    <t xml:space="preserve">Interest and other, 2026</t>
  </si>
  <si>
    <t xml:space="preserve">MINE. H1 70.9.</t>
  </si>
  <si>
    <t xml:space="preserve">Interest and other, 2027</t>
  </si>
  <si>
    <t xml:space="preserve">Interest and other, 2028</t>
  </si>
  <si>
    <t xml:space="preserve">Profit from equity method investments, 2026</t>
  </si>
  <si>
    <t xml:space="preserve">MINE. H1 145.7 (mainly Carl Zeiss SMT Holding, 24.9%).</t>
  </si>
  <si>
    <t xml:space="preserve">Profit from equity method investments, 2027</t>
  </si>
  <si>
    <t xml:space="preserve">Profit from equity method investments, 2028</t>
  </si>
  <si>
    <t xml:space="preserve">Effective tax rate</t>
  </si>
  <si>
    <t xml:space="preserve">Guided around 17% for 2026; MINE for 2027 and 2028.</t>
  </si>
  <si>
    <t xml:space="preserve">Diluted shares, 2026</t>
  </si>
  <si>
    <t xml:space="preserve">MINE. H1 2026: 385.3m.</t>
  </si>
  <si>
    <t xml:space="preserve">Diluted shares, 2027</t>
  </si>
  <si>
    <t xml:space="preserve">MINE. EUR 12bn buyback over 2026 to 2028.</t>
  </si>
  <si>
    <t xml:space="preserve">Diluted shares, 2028</t>
  </si>
  <si>
    <t xml:space="preserve">P/E on 2028E EPS, base</t>
  </si>
  <si>
    <t xml:space="preserve">x</t>
  </si>
  <si>
    <t xml:space="preserve">MINE. Today 32.2x my 2027E; peers' median 36.1x on the year ending in 2027.</t>
  </si>
  <si>
    <t xml:space="preserve">Cost of equity (DCF cross-check)</t>
  </si>
  <si>
    <t xml:space="preserve">Free cash flow / net income</t>
  </si>
  <si>
    <t xml:space="preserve">MINE. 2024: 120%; 2025: 115%. Below history, as down payments unwind (H1 2026 free cash flow was negative).</t>
  </si>
  <si>
    <t xml:space="preserve">Free cash flow / net income, 2025 actual (alternative case)</t>
  </si>
  <si>
    <t xml:space="preserve">20-F 2025: free cash flow EUR 11.0bn on net income EUR 9.6bn (115%).</t>
  </si>
  <si>
    <t xml:space="preserve">Net income growth, 2029</t>
  </si>
  <si>
    <t xml:space="preserve">Net income growth, 2030</t>
  </si>
  <si>
    <t xml:space="preserve">Net income growth, 2031</t>
  </si>
  <si>
    <t xml:space="preserve">Net income growth, 2032</t>
  </si>
  <si>
    <t xml:space="preserve">Terminal growth from 2033</t>
  </si>
  <si>
    <t xml:space="preserve">QUARTERS: SYSTEMS, INSTALLED BASE MANAGEMENT AND MARGIN, Q2 2025 TO Q3 2026 GUIDE</t>
  </si>
  <si>
    <t xml:space="preserve">EUR million unless stated</t>
  </si>
  <si>
    <t xml:space="preserve">Q2 25</t>
  </si>
  <si>
    <t xml:space="preserve">Q3 25</t>
  </si>
  <si>
    <t xml:space="preserve">Q4 25</t>
  </si>
  <si>
    <t xml:space="preserve">Q1 26</t>
  </si>
  <si>
    <t xml:space="preserve">Q2 26</t>
  </si>
  <si>
    <t xml:space="preserve">Q3 26 guide</t>
  </si>
  <si>
    <t xml:space="preserve">Net system sales</t>
  </si>
  <si>
    <t xml:space="preserve">Installed Base Management</t>
  </si>
  <si>
    <t xml:space="preserve">Total net sales</t>
  </si>
  <si>
    <t xml:space="preserve">Gross margin</t>
  </si>
  <si>
    <t xml:space="preserve">IBM share of total net sales</t>
  </si>
  <si>
    <t xml:space="preserve">Checks</t>
  </si>
  <si>
    <t xml:space="preserve">IBM growth, H1 2026 on H1 2025</t>
  </si>
  <si>
    <t xml:space="preserve">EUV system sales, Q1 2026 (66% of system sales)</t>
  </si>
  <si>
    <t xml:space="preserve">EUV system sales, Q2 2026 (call)</t>
  </si>
  <si>
    <t xml:space="preserve">IBM growth, Q3 2026 guide on Q3 2025</t>
  </si>
  <si>
    <t xml:space="preserve">H1 2026 total net sales</t>
  </si>
  <si>
    <t xml:space="preserve">Source: ASML Q2 2026 US GAAP statements and presentation (Form 6-K, 15 July 2026). Q3 2026 guide: total net sales EUR 11.0bn to 12.0bn (midpoint used), IBM around EUR 2.9bn, gross margin 55% to 57%.</t>
  </si>
  <si>
    <t xml:space="preserve">Q1 2026 and Q2 2026 EUV shares of system sales (66% and 57%) and China shares (19% and 14% of system sales) from the presentation.</t>
  </si>
  <si>
    <t xml:space="preserve">REVENUE BY SEGMENT: LOW NA EUV, HIGH NA EUV, DUV AND METROLOGY, INSTALLED BASE MANAGEMENT</t>
  </si>
  <si>
    <t xml:space="preserve">2023A</t>
  </si>
  <si>
    <t xml:space="preserve">2024A</t>
  </si>
  <si>
    <t xml:space="preserve">2025A</t>
  </si>
  <si>
    <t xml:space="preserve">2026E*</t>
  </si>
  <si>
    <t xml:space="preserve">2027E*</t>
  </si>
  <si>
    <t xml:space="preserve">2028E*</t>
  </si>
  <si>
    <t xml:space="preserve">Low NA EUV systems recognised / shipped, units</t>
  </si>
  <si>
    <t xml:space="preserve">Low NA sales per system, EUR m</t>
  </si>
  <si>
    <t xml:space="preserve">Low NA EUV system sales</t>
  </si>
  <si>
    <t xml:space="preserve">High NA EUV systems, units</t>
  </si>
  <si>
    <t xml:space="preserve">High NA EUV system sales</t>
  </si>
  <si>
    <t xml:space="preserve">EUV system sales</t>
  </si>
  <si>
    <t xml:space="preserve">EUV growth</t>
  </si>
  <si>
    <t xml:space="preserve">DUV and metrology system sales (non-EUV)</t>
  </si>
  <si>
    <t xml:space="preserve">EUV share of net system sales</t>
  </si>
  <si>
    <t xml:space="preserve">Total net sales to China</t>
  </si>
  <si>
    <t xml:space="preserve">China share of total net sales</t>
  </si>
  <si>
    <t xml:space="preserve">Gross margin, systems</t>
  </si>
  <si>
    <t xml:space="preserve">Gross margin, Installed Base Management</t>
  </si>
  <si>
    <t xml:space="preserve">*2026E to 2028E are my estimates. History from the 20-F 2025 (net system sales per technology, total net sales by region, cost of system and of service sales).</t>
  </si>
  <si>
    <t xml:space="preserve">2026E EUV sales follow the CFO's 'over 45%' growth; the low NA figure is EUV less my High NA. 2026 China share is ASML's 'around 20%' of total net sales.</t>
  </si>
  <si>
    <t xml:space="preserve">Units are systems recognised in sales for 2023 to 2025 and shipments (equal to capacity) for 2026 and 2027; recognition can lag shipment.</t>
  </si>
  <si>
    <t xml:space="preserve">FINANCIAL SUMMARY AND FORECASTS (EUR million unless stated, US GAAP)</t>
  </si>
  <si>
    <t xml:space="preserve">H1 2026A</t>
  </si>
  <si>
    <t xml:space="preserve">Growth</t>
  </si>
  <si>
    <t xml:space="preserve">Gross profit</t>
  </si>
  <si>
    <t xml:space="preserve">R&amp;D</t>
  </si>
  <si>
    <t xml:space="preserve">SG&amp;A</t>
  </si>
  <si>
    <t xml:space="preserve">Income from operations</t>
  </si>
  <si>
    <t xml:space="preserve">Operating margin</t>
  </si>
  <si>
    <t xml:space="preserve">Interest and other</t>
  </si>
  <si>
    <t xml:space="preserve">Income tax</t>
  </si>
  <si>
    <t xml:space="preserve">Profit from equity method investments</t>
  </si>
  <si>
    <t xml:space="preserve">Net income</t>
  </si>
  <si>
    <t xml:space="preserve">Diluted shares, m</t>
  </si>
  <si>
    <t xml:space="preserve">Diluted EPS, EUR</t>
  </si>
  <si>
    <t xml:space="preserve">EPS growth</t>
  </si>
  <si>
    <t xml:space="preserve">P/E at reference price</t>
  </si>
  <si>
    <t xml:space="preserve">Consensus EPS, EUR (Zacks ADR, converted)</t>
  </si>
  <si>
    <t xml:space="preserve">Mine against consensus</t>
  </si>
  <si>
    <t xml:space="preserve">P/E on consensus</t>
  </si>
  <si>
    <t xml:space="preserve">Free cash flow (operating cash flow less capex and intangibles)</t>
  </si>
  <si>
    <t xml:space="preserve">*2026E to 2028E are my estimates. 2024, 2025 and H1 2026 as reported (20-F 2025; Q2 2026 statements). H1 2025 total net sales EUR 15,433.2m.</t>
  </si>
  <si>
    <t xml:space="preserve">Consensus: Zacks ADR EPS in US$ converted at the ECB rate of 6 October 2026; stockanalysis.com (S&amp;P Global) has EUR 38.35 for 2026. 2028 consensus not verified.</t>
  </si>
  <si>
    <t xml:space="preserve">H1 2026 free cash flow was negative as customer down payments received in Q4 2025 (operating cash flow EUR 11.4bn that quarter) were worked through.</t>
  </si>
  <si>
    <t xml:space="preserve">THREE CASES, TWELVE MONTHS OUT (P/E ON 2028E EPS)</t>
  </si>
  <si>
    <t xml:space="preserve">Case</t>
  </si>
  <si>
    <t xml:space="preserve">Low NA units 28</t>
  </si>
  <si>
    <t xml:space="preserve">Price step 28</t>
  </si>
  <si>
    <t xml:space="preserve">High NA units 28</t>
  </si>
  <si>
    <t xml:space="preserve">Non-EUV growth 28</t>
  </si>
  <si>
    <t xml:space="preserve">IBM growth 28</t>
  </si>
  <si>
    <t xml:space="preserve">Gross margin 28</t>
  </si>
  <si>
    <t xml:space="preserve">P/E</t>
  </si>
  <si>
    <t xml:space="preserve">Low NA sales 28</t>
  </si>
  <si>
    <t xml:space="preserve">High NA sales 28</t>
  </si>
  <si>
    <t xml:space="preserve">Non-EUV sales 28</t>
  </si>
  <si>
    <t xml:space="preserve">IBM 28</t>
  </si>
  <si>
    <t xml:space="preserve">Total net sales 28</t>
  </si>
  <si>
    <t xml:space="preserve">Gross profit 28</t>
  </si>
  <si>
    <t xml:space="preserve">Op. income 28</t>
  </si>
  <si>
    <t xml:space="preserve">Net income 28</t>
  </si>
  <si>
    <t xml:space="preserve">EPS 28</t>
  </si>
  <si>
    <t xml:space="preserve">Value, EUR</t>
  </si>
  <si>
    <t xml:space="preserve">vs price</t>
  </si>
  <si>
    <t xml:space="preserve">Bear</t>
  </si>
  <si>
    <t xml:space="preserve">Base</t>
  </si>
  <si>
    <t xml:space="preserve">Bull</t>
  </si>
  <si>
    <t xml:space="preserve">Price-implied</t>
  </si>
  <si>
    <t xml:space="preserve">Probability</t>
  </si>
  <si>
    <t xml:space="preserve">must be 100%</t>
  </si>
  <si>
    <t xml:space="preserve">Value = 2028E diluted EPS x P/E, the year the market prices in October 2027. 2026 and 2027 are the same in all cases: 2027 low NA output is close to fully covered with orders.</t>
  </si>
  <si>
    <t xml:space="preserve">Bear: no low NA step in 2028 (85), price flat, 4 High NA, non-EUV -10% (China, DUV digestion), IBM +3%, gross margin 55%, 22x. Bull: 110 units, +5% price, 10 High NA, non-EUV +10%, IBM +12%, 59%, 32x.</t>
  </si>
  <si>
    <t xml:space="preserve">Price-implied: the 2028 low NA units, with every other base assumption, that give today's price at the base multiple (row 8 value equals the price).</t>
  </si>
  <si>
    <t xml:space="preserve">DCF CROSS-CHECK, VALUED AT THE END OF 2027 (MY ASSUMPTIONS)</t>
  </si>
  <si>
    <t xml:space="preserve">2028E</t>
  </si>
  <si>
    <t xml:space="preserve">2029E</t>
  </si>
  <si>
    <t xml:space="preserve">2030E</t>
  </si>
  <si>
    <t xml:space="preserve">2031E</t>
  </si>
  <si>
    <t xml:space="preserve">2032E</t>
  </si>
  <si>
    <t xml:space="preserve">Net income growth</t>
  </si>
  <si>
    <t xml:space="preserve">Free cash flow</t>
  </si>
  <si>
    <t xml:space="preserve">Discount factor</t>
  </si>
  <si>
    <t xml:space="preserve">Present value</t>
  </si>
  <si>
    <t xml:space="preserve">Sum of present values, 2028 to 2032</t>
  </si>
  <si>
    <t xml:space="preserve">Terminal value at end 2032</t>
  </si>
  <si>
    <t xml:space="preserve">Present value of terminal value</t>
  </si>
  <si>
    <t xml:space="preserve">Equity value of operations</t>
  </si>
  <si>
    <t xml:space="preserve">Per share (2028 diluted shares), EUR</t>
  </si>
  <si>
    <t xml:space="preserve">Net cash per share, held flat, EUR</t>
  </si>
  <si>
    <t xml:space="preserve">DCF value per share, EUR</t>
  </si>
  <si>
    <t xml:space="preserve">Against the price</t>
  </si>
  <si>
    <t xml:space="preserve">Implied P/E on 2028E</t>
  </si>
  <si>
    <t xml:space="preserve">Reverse DCF: flat growth 2029 to 2032 that gives the price</t>
  </si>
  <si>
    <t xml:space="preserve">Value at that growth, EUR</t>
  </si>
  <si>
    <t xml:space="preserve">DCF value per share at 2025 conversion (115%), EUR</t>
  </si>
  <si>
    <t xml:space="preserve">Reverse DCF at 115% conversion: flat growth 2029 to 2032 that gives the price</t>
  </si>
  <si>
    <t xml:space="preserve">A cross-check, not the method. The terminal value at 8.5% and 3% implies about 18 times free cash flow from 2033.</t>
  </si>
  <si>
    <t xml:space="preserve">The base uses 95% free cash flow conversion, below the 120% of 2024 and 115% of 2025; rows 24 to 27 show the same DCF at 115%.</t>
  </si>
  <si>
    <t xml:space="preserve">Rows 22 and 27 should equal the reference price (within rounding of the growth rate).</t>
  </si>
  <si>
    <t xml:space="preserve">VALUATION: P/E ON 2028E, TWELVE MONTHS OUT</t>
  </si>
  <si>
    <t xml:space="preserve">Line</t>
  </si>
  <si>
    <t xml:space="preserve">Working / note</t>
  </si>
  <si>
    <t xml:space="preserve">25 / 50 / 25.</t>
  </si>
  <si>
    <t xml:space="preserve">Rule on value alone (long at 15% above, short at 25% below)</t>
  </si>
  <si>
    <t xml:space="preserve">Mechanical, on the base value.</t>
  </si>
  <si>
    <t xml:space="preserve">CALL</t>
  </si>
  <si>
    <t xml:space="preserve">NO CALL</t>
  </si>
  <si>
    <t xml:space="preserve">none</t>
  </si>
  <si>
    <t xml:space="preserve">No target for no call.</t>
  </si>
  <si>
    <t xml:space="preserve">Price at or below which the base is 15% above (points long)</t>
  </si>
  <si>
    <t xml:space="preserve">Price at or above which the base is 25% below (points short)</t>
  </si>
  <si>
    <t xml:space="preserve">2028E EPS the price needs at the base multiple, EUR</t>
  </si>
  <si>
    <t xml:space="preserve">2028 low NA units that give it (other base assumptions)</t>
  </si>
  <si>
    <t xml:space="preserve">Scenarios row 8.</t>
  </si>
  <si>
    <t xml:space="preserve">Market value, EUR bn</t>
  </si>
  <si>
    <t xml:space="preserve">Cash and short-term investments less long-term debt, EUR bn</t>
  </si>
  <si>
    <t xml:space="preserve">28 June 2026.</t>
  </si>
  <si>
    <t xml:space="preserve">Enterprise value, EUR bn</t>
  </si>
  <si>
    <t xml:space="preserve">EV / 2027E income from operations</t>
  </si>
  <si>
    <t xml:space="preserve">EV at the base value / 2028E income from operations</t>
  </si>
  <si>
    <t xml:space="preserve">P/E on 2026 consensus (Zacks, converted)</t>
  </si>
  <si>
    <t xml:space="preserve">P/E on 2026 consensus (stockanalysis.com)</t>
  </si>
  <si>
    <t xml:space="preserve">P/E on 2027 consensus (Zacks, converted)</t>
  </si>
  <si>
    <t xml:space="preserve">ADR P/E on 2027 consensus (US$)</t>
  </si>
  <si>
    <t xml:space="preserve">Same basis as the peer table.</t>
  </si>
  <si>
    <t xml:space="preserve">P/E on my 2027E</t>
  </si>
  <si>
    <t xml:space="preserve">P/E on my 2028E</t>
  </si>
  <si>
    <t xml:space="preserve">DCF cross-check, EUR</t>
  </si>
  <si>
    <t xml:space="preserve">8.5% cost of equity, 3% terminal growth, 95% cash conversion; DCF!B24 at 115%.</t>
  </si>
  <si>
    <t xml:space="preserve">Peer median P/E, fiscal year ending in 2027</t>
  </si>
  <si>
    <t xml:space="preserve">Close at end 2024 over 2025 diluted EPS</t>
  </si>
  <si>
    <t xml:space="preserve">History: one year forward, on actual EPS.</t>
  </si>
  <si>
    <t xml:space="preserve">Close at end 2025 over my 2026E EPS</t>
  </si>
  <si>
    <t xml:space="preserve">Against the highest close (30 June 2026)</t>
  </si>
  <si>
    <t xml:space="preserve">Against the lowest close (10 October 2025)</t>
  </si>
  <si>
    <t xml:space="preserve">Change since 31 December 2025</t>
  </si>
  <si>
    <t xml:space="preserve">End-2025 backlog in months of 2025 system sales</t>
  </si>
  <si>
    <t xml:space="preserve">Average analyst target, converted to EUR</t>
  </si>
  <si>
    <t xml:space="preserve">VALUE PER SHARE: 2028 LOW NA EUV UNITS AGAINST THE P/E (EUR)</t>
  </si>
  <si>
    <t xml:space="preserve">2028 low NA units \ P/E</t>
  </si>
  <si>
    <t xml:space="preserve">Cells above the reference price</t>
  </si>
  <si>
    <t xml:space="preserve">of 9</t>
  </si>
  <si>
    <t xml:space="preserve">Cells 15% or more above the price</t>
  </si>
  <si>
    <t xml:space="preserve">Cells 25% or more below the price</t>
  </si>
  <si>
    <t xml:space="preserve">Middle row is my base 2028 low NA units; everything else as in the base case. 85 is ASML's planned 2027 capacity; 110 the 2028 step it is investigating.</t>
  </si>
  <si>
    <t xml:space="preserve">PEER MULTIPLES: P/E ON CONSENSUS EPS FOR THE FISCAL YEAR ENDING IN 2027 (closes of 6 OCTOBER 2026)</t>
  </si>
  <si>
    <t xml:space="preserve">Company</t>
  </si>
  <si>
    <t xml:space="preserve">Listing</t>
  </si>
  <si>
    <t xml:space="preserve">Price</t>
  </si>
  <si>
    <t xml:space="preserve">EPS FY27</t>
  </si>
  <si>
    <t xml:space="preserve">Currency</t>
  </si>
  <si>
    <t xml:space="preserve">Year end</t>
  </si>
  <si>
    <t xml:space="preserve">EPS source</t>
  </si>
  <si>
    <t xml:space="preserve">What they make</t>
  </si>
  <si>
    <t xml:space="preserve">ASML (ADR)</t>
  </si>
  <si>
    <t xml:space="preserve">Nasdaq: ASML</t>
  </si>
  <si>
    <t xml:space="preserve">Dec 2027</t>
  </si>
  <si>
    <t xml:space="preserve">Zacks</t>
  </si>
  <si>
    <t xml:space="preserve">Lithography systems, metrology, installed base service and upgrades</t>
  </si>
  <si>
    <t xml:space="preserve">Applied Materials</t>
  </si>
  <si>
    <t xml:space="preserve">Nasdaq: AMAT</t>
  </si>
  <si>
    <t xml:space="preserve">Oct 2027</t>
  </si>
  <si>
    <t xml:space="preserve">Deposition, etch, ion implant, inspection</t>
  </si>
  <si>
    <t xml:space="preserve">Lam Research</t>
  </si>
  <si>
    <t xml:space="preserve">Nasdaq: LRCX</t>
  </si>
  <si>
    <t xml:space="preserve">Jun 2027</t>
  </si>
  <si>
    <t xml:space="preserve">Etch and deposition</t>
  </si>
  <si>
    <t xml:space="preserve">KLA</t>
  </si>
  <si>
    <t xml:space="preserve">Nasdaq: KLAC</t>
  </si>
  <si>
    <t xml:space="preserve">Inspection and metrology</t>
  </si>
  <si>
    <t xml:space="preserve">Tokyo Electron</t>
  </si>
  <si>
    <t xml:space="preserve">Tokyo: 8035</t>
  </si>
  <si>
    <t xml:space="preserve">JPY</t>
  </si>
  <si>
    <t xml:space="preserve">Mar 2027</t>
  </si>
  <si>
    <t xml:space="preserve">stockanalysis.com</t>
  </si>
  <si>
    <t xml:space="preserve">Coater/developers, etch, deposition, cleaning</t>
  </si>
  <si>
    <t xml:space="preserve">Median, four peers</t>
  </si>
  <si>
    <t xml:space="preserve">Year ends differ: ASML December, Applied Materials October, Lam Research and KLA June, Tokyo Electron March. The peers' fiscal 2027 ends 2 to 9 months before ASML's, so on a calendar basis their multiples would be lower than shown.</t>
  </si>
  <si>
    <t xml:space="preserve">Prices are 6 October 2026 closes in local currency (stockanalysis.com history pages). Zacks consensus retrieved 7 October 2026; Tokyo Electron from stockanalysis.com (S&amp;P Global).</t>
  </si>
  <si>
    <t xml:space="preserve">Multiples only, to set the base multiple; no view on the peers' shares is expressed.</t>
  </si>
  <si>
    <t xml:space="preserve">SOURCES</t>
  </si>
  <si>
    <t xml:space="preserve">No.</t>
  </si>
  <si>
    <t xml:space="preserve">Source and what it supports</t>
  </si>
  <si>
    <t xml:space="preserve">ASML Annual Report 2025 on Form 20-F, filed 25 February 2026: income statement 2023 to 2025, net system sales per technology and end use, total net sales by region (China 29.1% in 2025, 36.1% in 2024), customer concentration (four customers, 61.2%), cost of system and service sales, free cash flow, export control risk wording, 2024 Investor Day 2030 opportunity table, financial calendar (Q3 2026 results on 14 October 2026), cost of sales with related parties.</t>
  </si>
  <si>
    <t xml:space="preserve">ASML Q4 and full-year 2025 results, Form 6-K, 28 January 2026: backlog EUR 38.8bn, 2025 net bookings, 2026 initial guide, EUR 12bn buyback to 2028; presentation slide 9 (system sales by technology and region).</t>
  </si>
  <si>
    <t xml:space="preserve">ASML Q2 2026 results, Form 6-K, 15 July 2026: release (Ex. 99.1), presentation (Ex. 99.2: technology, end-use and region splits, units, outlook, dividends) and US GAAP statements (Ex. 99.3: quarterly income statements, balance sheet, cash flows).</t>
  </si>
  <si>
    <t xml:space="preserve">ASML transcript of the Q2 2026 investor call prepared remarks, asml.com, 15 July 2026: 2026 segment growth guides, 65 low NA shipments, 2027 close to fully covered, 30% capacity steps, China around 20%, Capital Markets Day 10 June 2027.</t>
  </si>
  <si>
    <t xml:space="preserve">ASML Q2 2026 investor call Q&amp;A as transcribed by Webull: 2027 EUV mix, order lead times, the 110 scenario for 2028.</t>
  </si>
  <si>
    <t xml:space="preserve">Euronext Amsterdam historical prices (live.euronext.com, ISIN NL0010273215), retrieved 7 October 2026. (Yahoo Finance chart API refused requests on 7 October 2026.) ECB euro reference rates, 6 October 2026.</t>
  </si>
  <si>
    <t xml:space="preserve">Zacks detailed earnings estimates for ASML (ADR), AMAT, LRCX and KLAC; stockanalysis.com (S&amp;P Global) for ASML 2026 EUR consensus, analyst target, shares outstanding, closes and Tokyo Electron consensus; all retrieved 7 October 2026.</t>
  </si>
  <si>
    <t xml:space="preserve">Bloomberg report of 18 June 2026 on US questions over a possible EUV-related export to China, as carried by NL Times (19 June 2026), and ASML's statement; MATCH Act introduced in the US Congress in April 2026 (press reports). Not independently verified.</t>
  </si>
  <si>
    <t xml:space="preserve">The Physical Layer, 'ASML's EUV machines are booked a year or two ahead, like a grid connection', 7 October 2026: https://thephysicallayer.fyi/journal/asml-booked-ahead/</t>
  </si>
  <si>
    <t xml:space="preserve">Estimates for 2026 to 2028, the scenarios, the DCF and the valuation are the author's own. Personal research, not investment advice. I hold no position in ASML.</t>
  </si>
</sst>
</file>

<file path=xl/styles.xml><?xml version="1.0" encoding="utf-8"?>
<styleSheet xmlns="http://schemas.openxmlformats.org/spreadsheetml/2006/main">
  <numFmts count="14">
    <numFmt numFmtId="164" formatCode="General"/>
    <numFmt numFmtId="165" formatCode="&quot;EUR &quot;#,##0.00"/>
    <numFmt numFmtId="166" formatCode="0.0%"/>
    <numFmt numFmtId="167" formatCode="#,##0.00"/>
    <numFmt numFmtId="168" formatCode="0.0000"/>
    <numFmt numFmtId="169" formatCode="#,##0.0"/>
    <numFmt numFmtId="170" formatCode="0\x"/>
    <numFmt numFmtId="171" formatCode="#,##0"/>
    <numFmt numFmtId="172" formatCode="0.0\x"/>
    <numFmt numFmtId="173" formatCode="0.00"/>
    <numFmt numFmtId="174" formatCode="0%"/>
    <numFmt numFmtId="175" formatCode="0.000"/>
    <numFmt numFmtId="176" formatCode="0.0"/>
    <numFmt numFmtId="177" formatCode="&quot;EUR &quot;#,##0"/>
  </numFmts>
  <fonts count="15">
    <font>
      <sz val="11"/>
      <color theme="1"/>
      <name val="Calibri"/>
      <family val="2"/>
      <charset val="1"/>
    </font>
    <font>
      <sz val="10"/>
      <name val="Arial"/>
      <family val="0"/>
    </font>
    <font>
      <sz val="10"/>
      <name val="Arial"/>
      <family val="0"/>
    </font>
    <font>
      <sz val="10"/>
      <name val="Arial"/>
      <family val="0"/>
    </font>
    <font>
      <b val="true"/>
      <sz val="12"/>
      <color rgb="FF1F3864"/>
      <name val="Cambria"/>
      <family val="0"/>
      <charset val="1"/>
    </font>
    <font>
      <sz val="9"/>
      <color rgb="FF595959"/>
      <name val="Cambria"/>
      <family val="0"/>
      <charset val="1"/>
    </font>
    <font>
      <b val="true"/>
      <sz val="10"/>
      <color rgb="FFFFFFFF"/>
      <name val="Cambria"/>
      <family val="0"/>
      <charset val="1"/>
    </font>
    <font>
      <b val="true"/>
      <sz val="11"/>
      <name val="Cambria"/>
      <family val="0"/>
      <charset val="1"/>
    </font>
    <font>
      <sz val="11"/>
      <color rgb="FF008000"/>
      <name val="Cambria"/>
      <family val="0"/>
      <charset val="1"/>
    </font>
    <font>
      <sz val="11"/>
      <color rgb="FF0000FF"/>
      <name val="Cambria"/>
      <family val="0"/>
      <charset val="1"/>
    </font>
    <font>
      <b val="true"/>
      <sz val="11"/>
      <color rgb="FF1F3864"/>
      <name val="Cambria"/>
      <family val="0"/>
      <charset val="1"/>
    </font>
    <font>
      <i val="true"/>
      <sz val="9"/>
      <color rgb="FF595959"/>
      <name val="Cambria"/>
      <family val="0"/>
      <charset val="1"/>
    </font>
    <font>
      <b val="true"/>
      <sz val="11"/>
      <color rgb="FF0000FF"/>
      <name val="Cambria"/>
      <family val="0"/>
      <charset val="1"/>
    </font>
    <font>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righ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5" fontId="8" fillId="0"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12" fillId="3" borderId="0" xfId="0" applyFont="true" applyBorder="false" applyAlignment="false" applyProtection="false">
      <alignment horizontal="general" vertical="bottom" textRotation="0" wrapText="false" indent="0" shrinkToFit="false"/>
      <protection locked="true" hidden="false"/>
    </xf>
    <xf numFmtId="169" fontId="12" fillId="3" borderId="0" xfId="0" applyFont="true" applyBorder="false" applyAlignment="false" applyProtection="false">
      <alignment horizontal="general" vertical="bottom" textRotation="0" wrapText="false" indent="0" shrinkToFit="false"/>
      <protection locked="true" hidden="false"/>
    </xf>
    <xf numFmtId="170" fontId="12" fillId="3"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true" applyProtection="false">
      <alignment horizontal="right" vertical="bottom" textRotation="0" wrapText="false" indent="0" shrinkToFit="false"/>
      <protection locked="true" hidden="false"/>
    </xf>
    <xf numFmtId="171" fontId="0" fillId="0" borderId="0" xfId="0" applyFont="false" applyBorder="false" applyAlignment="true" applyProtection="false">
      <alignment horizontal="right" vertical="bottom" textRotation="0" wrapText="false" indent="0" shrinkToFit="false"/>
      <protection locked="true" hidden="false"/>
    </xf>
    <xf numFmtId="166" fontId="9" fillId="0" borderId="0" xfId="0" applyFont="true" applyBorder="false" applyAlignment="true" applyProtection="false">
      <alignment horizontal="right"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true" applyProtection="false">
      <alignment horizontal="right" vertical="bottom" textRotation="0" wrapText="false" indent="0" shrinkToFit="false"/>
      <protection locked="true" hidden="false"/>
    </xf>
    <xf numFmtId="169" fontId="0" fillId="0" borderId="0" xfId="0" applyFont="false" applyBorder="false" applyAlignment="true" applyProtection="false">
      <alignment horizontal="right" vertical="bottom" textRotation="0" wrapText="false" indent="0" shrinkToFit="false"/>
      <protection locked="true" hidden="false"/>
    </xf>
    <xf numFmtId="169" fontId="9" fillId="0" borderId="0" xfId="0" applyFont="true" applyBorder="false" applyAlignment="true" applyProtection="false">
      <alignment horizontal="right" vertical="bottom" textRotation="0" wrapText="false" indent="0" shrinkToFit="false"/>
      <protection locked="true" hidden="false"/>
    </xf>
    <xf numFmtId="169" fontId="8" fillId="0" borderId="0" xfId="0" applyFont="true" applyBorder="false" applyAlignment="true" applyProtection="false">
      <alignment horizontal="right" vertical="bottom" textRotation="0" wrapText="false" indent="0" shrinkToFit="false"/>
      <protection locked="true" hidden="false"/>
    </xf>
    <xf numFmtId="167" fontId="9" fillId="0" borderId="0" xfId="0" applyFont="true" applyBorder="false" applyAlignment="true" applyProtection="false">
      <alignment horizontal="right" vertical="bottom" textRotation="0" wrapText="false" indent="0" shrinkToFit="false"/>
      <protection locked="true" hidden="false"/>
    </xf>
    <xf numFmtId="167" fontId="0" fillId="0" borderId="0" xfId="0" applyFont="false" applyBorder="false" applyAlignment="true" applyProtection="false">
      <alignment horizontal="right" vertical="bottom" textRotation="0" wrapText="false" indent="0" shrinkToFit="false"/>
      <protection locked="true" hidden="false"/>
    </xf>
    <xf numFmtId="172" fontId="8" fillId="0" borderId="0" xfId="0" applyFont="true" applyBorder="false" applyAlignment="true" applyProtection="false">
      <alignment horizontal="right" vertical="bottom" textRotation="0" wrapText="false" indent="0" shrinkToFit="false"/>
      <protection locked="true" hidden="false"/>
    </xf>
    <xf numFmtId="172" fontId="0" fillId="0" borderId="0" xfId="0" applyFont="false" applyBorder="false" applyAlignment="true" applyProtection="false">
      <alignment horizontal="right" vertical="bottom" textRotation="0" wrapText="false" indent="0" shrinkToFit="false"/>
      <protection locked="true" hidden="false"/>
    </xf>
    <xf numFmtId="167" fontId="8" fillId="0" borderId="0" xfId="0" applyFont="true" applyBorder="false" applyAlignment="true" applyProtection="false">
      <alignment horizontal="right" vertical="bottom" textRotation="0" wrapText="false" indent="0" shrinkToFit="false"/>
      <protection locked="true" hidden="false"/>
    </xf>
    <xf numFmtId="173" fontId="12" fillId="3" borderId="0" xfId="0" applyFont="true" applyBorder="false" applyAlignment="false" applyProtection="false">
      <alignment horizontal="general" vertical="bottom" textRotation="0" wrapText="false" indent="0" shrinkToFit="false"/>
      <protection locked="true" hidden="false"/>
    </xf>
    <xf numFmtId="171" fontId="12" fillId="3"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4" fontId="12" fillId="3" borderId="0" xfId="0" applyFont="tru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5" fontId="7" fillId="4" borderId="0" xfId="0" applyFont="true" applyBorder="false" applyAlignment="true" applyProtection="false">
      <alignment horizontal="right" vertical="bottom" textRotation="0" wrapText="false" indent="0" shrinkToFit="false"/>
      <protection locked="true" hidden="false"/>
    </xf>
    <xf numFmtId="164" fontId="12" fillId="4"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0" fontId="14" fillId="2" borderId="0" xfId="0" applyFont="true" applyBorder="false" applyAlignment="true" applyProtection="false">
      <alignment horizontal="right"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7" fontId="0" fillId="0" borderId="0" xfId="0" applyFont="false" applyBorder="false" applyAlignment="false" applyProtection="false">
      <alignment horizontal="general" vertical="bottom" textRotation="0" wrapText="false" indent="0" shrinkToFit="false"/>
      <protection locked="true" hidden="false"/>
    </xf>
    <xf numFmtId="177" fontId="0" fillId="4"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c r="C4" s="4" t="s">
        <v>4</v>
      </c>
    </row>
    <row r="5" customFormat="false" ht="15" hidden="false" customHeight="false" outlineLevel="0" collapsed="false">
      <c r="A5" s="5" t="s">
        <v>5</v>
      </c>
      <c r="B5" s="6" t="str">
        <f aca="false">Valuation!$B$10</f>
        <v>NO CALL</v>
      </c>
      <c r="C5" s="7" t="s">
        <v>6</v>
      </c>
    </row>
    <row r="6" customFormat="false" ht="15" hidden="false" customHeight="false" outlineLevel="0" collapsed="false">
      <c r="A6" s="5" t="s">
        <v>7</v>
      </c>
      <c r="B6" s="8" t="str">
        <f aca="false">Valuation!$B$11</f>
        <v>none</v>
      </c>
      <c r="C6" s="7" t="s">
        <v>8</v>
      </c>
    </row>
    <row r="7" customFormat="false" ht="15" hidden="false" customHeight="false" outlineLevel="0" collapsed="false">
      <c r="A7" s="5" t="s">
        <v>9</v>
      </c>
      <c r="B7" s="9" t="s">
        <v>10</v>
      </c>
      <c r="C7" s="7" t="s">
        <v>11</v>
      </c>
    </row>
    <row r="8" customFormat="false" ht="15" hidden="false" customHeight="false" outlineLevel="0" collapsed="false">
      <c r="A8" s="5" t="s">
        <v>12</v>
      </c>
      <c r="B8" s="8" t="n">
        <f aca="false">Assumptions!$B$7</f>
        <v>1636.4</v>
      </c>
      <c r="C8" s="7" t="s">
        <v>13</v>
      </c>
    </row>
    <row r="9" customFormat="false" ht="15" hidden="false" customHeight="false" outlineLevel="0" collapsed="false">
      <c r="A9" s="5" t="s">
        <v>14</v>
      </c>
      <c r="B9" s="8" t="n">
        <f aca="false">Valuation!$B$5</f>
        <v>1696.50986635594</v>
      </c>
      <c r="C9" s="7" t="s">
        <v>15</v>
      </c>
    </row>
    <row r="10" customFormat="false" ht="15" hidden="false" customHeight="false" outlineLevel="0" collapsed="false">
      <c r="A10" s="5" t="s">
        <v>16</v>
      </c>
      <c r="B10" s="10" t="n">
        <f aca="false">Valuation!$B$8</f>
        <v>0.0367329909288288</v>
      </c>
      <c r="C10" s="7"/>
    </row>
    <row r="11" customFormat="false" ht="15" hidden="false" customHeight="false" outlineLevel="0" collapsed="false">
      <c r="A11" s="5" t="s">
        <v>17</v>
      </c>
      <c r="B11" s="8" t="n">
        <f aca="false">Valuation!$B$6</f>
        <v>1653.41829698026</v>
      </c>
      <c r="C11" s="7" t="s">
        <v>18</v>
      </c>
    </row>
    <row r="12" customFormat="false" ht="15" hidden="false" customHeight="false" outlineLevel="0" collapsed="false">
      <c r="A12" s="5" t="s">
        <v>19</v>
      </c>
      <c r="B12" s="6" t="str">
        <f aca="false">TEXT(DCF!B17,"#,##0")&amp;" / "&amp;TEXT(DCF!B24,"#,##0")</f>
        <v>1,226 / 1,481</v>
      </c>
      <c r="C12" s="7" t="s">
        <v>20</v>
      </c>
    </row>
    <row r="13" customFormat="false" ht="15" hidden="false" customHeight="false" outlineLevel="0" collapsed="false">
      <c r="A13" s="5" t="s">
        <v>21</v>
      </c>
      <c r="B13" s="6" t="str">
        <f aca="false">TEXT(Financials!E18,"0.00")&amp;" / "&amp;TEXT(Financials!F18,"0.00")&amp;" / "&amp;TEXT(Financials!G18,"0.00")</f>
        <v>39.49 / 50.78 / 60.59</v>
      </c>
      <c r="C13" s="7" t="s">
        <v>22</v>
      </c>
    </row>
    <row r="14" customFormat="false" ht="15" hidden="false" customHeight="false" outlineLevel="0" collapsed="false">
      <c r="A14" s="5" t="s">
        <v>23</v>
      </c>
      <c r="B14" s="9" t="s">
        <v>24</v>
      </c>
      <c r="C14" s="7"/>
    </row>
    <row r="17" customFormat="false" ht="15" hidden="false" customHeight="false" outlineLevel="0" collapsed="false">
      <c r="A17" s="11" t="s">
        <v>25</v>
      </c>
    </row>
    <row r="18" customFormat="false" ht="15" hidden="false" customHeight="false" outlineLevel="0" collapsed="false">
      <c r="A18" s="0" t="s">
        <v>26</v>
      </c>
      <c r="B18" s="0" t="s">
        <v>27</v>
      </c>
    </row>
    <row r="19" customFormat="false" ht="15" hidden="false" customHeight="false" outlineLevel="0" collapsed="false">
      <c r="A19" s="0" t="s">
        <v>28</v>
      </c>
      <c r="B19" s="0" t="s">
        <v>29</v>
      </c>
    </row>
    <row r="20" customFormat="false" ht="15" hidden="false" customHeight="false" outlineLevel="0" collapsed="false">
      <c r="A20" s="0" t="s">
        <v>30</v>
      </c>
      <c r="B20" s="0" t="s">
        <v>31</v>
      </c>
    </row>
    <row r="21" customFormat="false" ht="15" hidden="false" customHeight="false" outlineLevel="0" collapsed="false">
      <c r="A21" s="0" t="s">
        <v>32</v>
      </c>
      <c r="B21" s="0" t="s">
        <v>33</v>
      </c>
    </row>
    <row r="22" customFormat="false" ht="15" hidden="false" customHeight="false" outlineLevel="0" collapsed="false">
      <c r="A22" s="0" t="s">
        <v>34</v>
      </c>
      <c r="B22" s="0" t="s">
        <v>35</v>
      </c>
    </row>
    <row r="23" customFormat="false" ht="15" hidden="false" customHeight="false" outlineLevel="0" collapsed="false">
      <c r="A23" s="0" t="s">
        <v>36</v>
      </c>
      <c r="B23" s="0" t="s">
        <v>37</v>
      </c>
    </row>
    <row r="24" customFormat="false" ht="15" hidden="false" customHeight="false" outlineLevel="0" collapsed="false">
      <c r="A24" s="0" t="s">
        <v>38</v>
      </c>
      <c r="B24" s="0" t="s">
        <v>39</v>
      </c>
    </row>
    <row r="25" customFormat="false" ht="15" hidden="false" customHeight="false" outlineLevel="0" collapsed="false">
      <c r="A25" s="0" t="s">
        <v>40</v>
      </c>
      <c r="B25" s="0" t="s">
        <v>41</v>
      </c>
    </row>
    <row r="26" customFormat="false" ht="15" hidden="false" customHeight="false" outlineLevel="0" collapsed="false">
      <c r="A26" s="0" t="s">
        <v>42</v>
      </c>
      <c r="B26" s="0" t="s">
        <v>43</v>
      </c>
    </row>
    <row r="27" customFormat="false" ht="15" hidden="false" customHeight="false" outlineLevel="0" collapsed="false">
      <c r="A27" s="0" t="s">
        <v>44</v>
      </c>
      <c r="B27" s="0" t="s">
        <v>45</v>
      </c>
    </row>
    <row r="30" customFormat="false" ht="15" hidden="false" customHeight="false" outlineLevel="0" collapsed="false">
      <c r="A30" s="12" t="s">
        <v>46</v>
      </c>
    </row>
    <row r="31" customFormat="false" ht="15" hidden="false" customHeight="false" outlineLevel="0" collapsed="false">
      <c r="A31" s="12" t="s">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4"/>
    <col collapsed="false" customWidth="true" hidden="false" outlineLevel="0" max="2" min="2" style="0" width="14"/>
    <col collapsed="false" customWidth="true" hidden="false" outlineLevel="0" max="3" min="3" style="0" width="10"/>
    <col collapsed="false" customWidth="true" hidden="false" outlineLevel="0" max="4" min="4" style="0" width="100"/>
  </cols>
  <sheetData>
    <row r="1" customFormat="false" ht="15" hidden="false" customHeight="false" outlineLevel="0" collapsed="false">
      <c r="A1" s="1" t="s">
        <v>48</v>
      </c>
    </row>
    <row r="2" customFormat="false" ht="15" hidden="false" customHeight="false" outlineLevel="0" collapsed="false">
      <c r="A2" s="2" t="s">
        <v>1</v>
      </c>
    </row>
    <row r="3" customFormat="false" ht="15" hidden="false" customHeight="false" outlineLevel="0" collapsed="false">
      <c r="A3" s="12" t="s">
        <v>49</v>
      </c>
    </row>
    <row r="5" customFormat="false" ht="15" hidden="false" customHeight="false" outlineLevel="0" collapsed="false">
      <c r="A5" s="3" t="s">
        <v>50</v>
      </c>
      <c r="B5" s="4" t="s">
        <v>3</v>
      </c>
      <c r="C5" s="4" t="s">
        <v>51</v>
      </c>
      <c r="D5" s="4" t="s">
        <v>52</v>
      </c>
    </row>
    <row r="6" customFormat="false" ht="15" hidden="false" customHeight="false" outlineLevel="0" collapsed="false">
      <c r="A6" s="11" t="s">
        <v>53</v>
      </c>
    </row>
    <row r="7" customFormat="false" ht="15" hidden="false" customHeight="false" outlineLevel="0" collapsed="false">
      <c r="A7" s="0" t="s">
        <v>54</v>
      </c>
      <c r="B7" s="13" t="n">
        <v>1636.4</v>
      </c>
      <c r="C7" s="0" t="s">
        <v>55</v>
      </c>
      <c r="D7" s="7" t="s">
        <v>13</v>
      </c>
    </row>
    <row r="8" customFormat="false" ht="15" hidden="false" customHeight="false" outlineLevel="0" collapsed="false">
      <c r="A8" s="0" t="s">
        <v>56</v>
      </c>
      <c r="B8" s="13" t="n">
        <v>1834.1</v>
      </c>
      <c r="C8" s="0" t="s">
        <v>57</v>
      </c>
      <c r="D8" s="7" t="s">
        <v>58</v>
      </c>
    </row>
    <row r="9" customFormat="false" ht="15" hidden="false" customHeight="false" outlineLevel="0" collapsed="false">
      <c r="A9" s="0" t="s">
        <v>59</v>
      </c>
      <c r="B9" s="14" t="n">
        <v>1.1269</v>
      </c>
      <c r="C9" s="0" t="s">
        <v>60</v>
      </c>
      <c r="D9" s="7" t="s">
        <v>61</v>
      </c>
    </row>
    <row r="10" customFormat="false" ht="15" hidden="false" customHeight="false" outlineLevel="0" collapsed="false">
      <c r="A10" s="0" t="s">
        <v>62</v>
      </c>
      <c r="B10" s="14" t="n">
        <v>178.15</v>
      </c>
      <c r="C10" s="0" t="s">
        <v>60</v>
      </c>
      <c r="D10" s="7" t="s">
        <v>61</v>
      </c>
    </row>
    <row r="11" customFormat="false" ht="15" hidden="false" customHeight="false" outlineLevel="0" collapsed="false">
      <c r="A11" s="0" t="s">
        <v>63</v>
      </c>
      <c r="B11" s="13" t="n">
        <v>1721.4</v>
      </c>
      <c r="C11" s="0" t="s">
        <v>55</v>
      </c>
      <c r="D11" s="7" t="s">
        <v>64</v>
      </c>
    </row>
    <row r="12" customFormat="false" ht="15" hidden="false" customHeight="false" outlineLevel="0" collapsed="false">
      <c r="A12" s="0" t="s">
        <v>65</v>
      </c>
      <c r="B12" s="13" t="n">
        <v>813.9</v>
      </c>
      <c r="C12" s="0" t="s">
        <v>55</v>
      </c>
      <c r="D12" s="7" t="s">
        <v>66</v>
      </c>
    </row>
    <row r="13" customFormat="false" ht="15" hidden="false" customHeight="false" outlineLevel="0" collapsed="false">
      <c r="A13" s="0" t="s">
        <v>67</v>
      </c>
      <c r="B13" s="13" t="n">
        <v>678.7</v>
      </c>
      <c r="C13" s="0" t="s">
        <v>55</v>
      </c>
      <c r="D13" s="7" t="s">
        <v>68</v>
      </c>
    </row>
    <row r="14" customFormat="false" ht="15" hidden="false" customHeight="false" outlineLevel="0" collapsed="false">
      <c r="A14" s="0" t="s">
        <v>69</v>
      </c>
      <c r="B14" s="13" t="n">
        <v>921.4</v>
      </c>
      <c r="C14" s="0" t="s">
        <v>55</v>
      </c>
      <c r="D14" s="7" t="s">
        <v>68</v>
      </c>
    </row>
    <row r="15" customFormat="false" ht="15" hidden="false" customHeight="false" outlineLevel="0" collapsed="false">
      <c r="A15" s="0" t="s">
        <v>70</v>
      </c>
      <c r="B15" s="15" t="n">
        <v>384.1</v>
      </c>
      <c r="C15" s="0" t="s">
        <v>71</v>
      </c>
      <c r="D15" s="7" t="s">
        <v>72</v>
      </c>
    </row>
    <row r="16" customFormat="false" ht="15" hidden="false" customHeight="false" outlineLevel="0" collapsed="false">
      <c r="A16" s="0" t="s">
        <v>73</v>
      </c>
      <c r="B16" s="13" t="n">
        <v>38.35</v>
      </c>
      <c r="C16" s="0" t="s">
        <v>55</v>
      </c>
      <c r="D16" s="7" t="s">
        <v>74</v>
      </c>
    </row>
    <row r="17" customFormat="false" ht="15" hidden="false" customHeight="false" outlineLevel="0" collapsed="false">
      <c r="A17" s="0" t="s">
        <v>75</v>
      </c>
      <c r="B17" s="13" t="n">
        <v>43.86</v>
      </c>
      <c r="C17" s="0" t="s">
        <v>57</v>
      </c>
      <c r="D17" s="7" t="s">
        <v>76</v>
      </c>
    </row>
    <row r="18" customFormat="false" ht="15" hidden="false" customHeight="false" outlineLevel="0" collapsed="false">
      <c r="A18" s="0" t="s">
        <v>77</v>
      </c>
      <c r="B18" s="13" t="n">
        <v>58.27</v>
      </c>
      <c r="C18" s="0" t="s">
        <v>57</v>
      </c>
      <c r="D18" s="7" t="s">
        <v>76</v>
      </c>
    </row>
    <row r="19" customFormat="false" ht="15" hidden="false" customHeight="false" outlineLevel="0" collapsed="false">
      <c r="A19" s="0" t="s">
        <v>78</v>
      </c>
      <c r="B19" s="13" t="n">
        <v>2107</v>
      </c>
      <c r="C19" s="0" t="s">
        <v>57</v>
      </c>
      <c r="D19" s="7" t="s">
        <v>79</v>
      </c>
    </row>
    <row r="20" customFormat="false" ht="15" hidden="false" customHeight="false" outlineLevel="0" collapsed="false">
      <c r="A20" s="11" t="s">
        <v>80</v>
      </c>
    </row>
    <row r="21" customFormat="false" ht="15" hidden="false" customHeight="false" outlineLevel="0" collapsed="false">
      <c r="A21" s="0" t="s">
        <v>81</v>
      </c>
      <c r="B21" s="15" t="n">
        <v>7582</v>
      </c>
      <c r="C21" s="0" t="s">
        <v>82</v>
      </c>
      <c r="D21" s="7" t="s">
        <v>83</v>
      </c>
    </row>
    <row r="22" customFormat="false" ht="15" hidden="false" customHeight="false" outlineLevel="0" collapsed="false">
      <c r="A22" s="0" t="s">
        <v>84</v>
      </c>
      <c r="B22" s="15" t="n">
        <v>1984.4</v>
      </c>
      <c r="C22" s="0" t="s">
        <v>82</v>
      </c>
      <c r="D22" s="7" t="s">
        <v>83</v>
      </c>
    </row>
    <row r="23" customFormat="false" ht="15" hidden="false" customHeight="false" outlineLevel="0" collapsed="false">
      <c r="A23" s="0" t="s">
        <v>85</v>
      </c>
      <c r="B23" s="15" t="n">
        <v>38797</v>
      </c>
      <c r="C23" s="0" t="s">
        <v>82</v>
      </c>
      <c r="D23" s="7" t="s">
        <v>86</v>
      </c>
    </row>
    <row r="24" customFormat="false" ht="15" hidden="false" customHeight="false" outlineLevel="0" collapsed="false">
      <c r="A24" s="0" t="s">
        <v>87</v>
      </c>
      <c r="B24" s="16" t="n">
        <v>0.612</v>
      </c>
      <c r="C24" s="0" t="s">
        <v>88</v>
      </c>
      <c r="D24" s="7" t="s">
        <v>89</v>
      </c>
    </row>
    <row r="25" customFormat="false" ht="15" hidden="false" customHeight="false" outlineLevel="0" collapsed="false">
      <c r="A25" s="0" t="s">
        <v>90</v>
      </c>
      <c r="B25" s="15" t="n">
        <v>289.225</v>
      </c>
      <c r="C25" s="0" t="s">
        <v>82</v>
      </c>
      <c r="D25" s="7" t="s">
        <v>91</v>
      </c>
    </row>
    <row r="26" customFormat="false" ht="15" hidden="false" customHeight="false" outlineLevel="0" collapsed="false">
      <c r="A26" s="11" t="s">
        <v>92</v>
      </c>
    </row>
    <row r="27" customFormat="false" ht="15" hidden="false" customHeight="false" outlineLevel="0" collapsed="false">
      <c r="A27" s="0" t="s">
        <v>93</v>
      </c>
      <c r="B27" s="15" t="n">
        <v>43000</v>
      </c>
      <c r="C27" s="0" t="s">
        <v>82</v>
      </c>
      <c r="D27" s="7" t="s">
        <v>94</v>
      </c>
    </row>
    <row r="28" customFormat="false" ht="15" hidden="false" customHeight="false" outlineLevel="0" collapsed="false">
      <c r="A28" s="0" t="s">
        <v>95</v>
      </c>
      <c r="B28" s="15" t="n">
        <v>45000</v>
      </c>
      <c r="C28" s="0" t="s">
        <v>82</v>
      </c>
      <c r="D28" s="7"/>
    </row>
    <row r="29" customFormat="false" ht="15" hidden="false" customHeight="false" outlineLevel="0" collapsed="false">
      <c r="A29" s="0" t="s">
        <v>96</v>
      </c>
      <c r="B29" s="16" t="n">
        <v>0.25</v>
      </c>
      <c r="C29" s="0" t="s">
        <v>88</v>
      </c>
      <c r="D29" s="7" t="s">
        <v>97</v>
      </c>
    </row>
    <row r="30" customFormat="false" ht="15" hidden="false" customHeight="false" outlineLevel="0" collapsed="false">
      <c r="A30" s="0" t="s">
        <v>98</v>
      </c>
      <c r="B30" s="15" t="n">
        <v>65</v>
      </c>
      <c r="C30" s="0" t="s">
        <v>99</v>
      </c>
      <c r="D30" s="7" t="s">
        <v>100</v>
      </c>
    </row>
    <row r="31" customFormat="false" ht="15" hidden="false" customHeight="false" outlineLevel="0" collapsed="false">
      <c r="A31" s="0" t="s">
        <v>101</v>
      </c>
      <c r="B31" s="15" t="n">
        <v>85</v>
      </c>
      <c r="C31" s="0" t="s">
        <v>99</v>
      </c>
      <c r="D31" s="7" t="s">
        <v>102</v>
      </c>
    </row>
    <row r="32" customFormat="false" ht="15" hidden="false" customHeight="false" outlineLevel="0" collapsed="false">
      <c r="A32" s="11" t="s">
        <v>103</v>
      </c>
    </row>
    <row r="33" customFormat="false" ht="15" hidden="false" customHeight="false" outlineLevel="0" collapsed="false">
      <c r="A33" s="0" t="s">
        <v>104</v>
      </c>
      <c r="B33" s="17" t="n">
        <v>0.47</v>
      </c>
      <c r="C33" s="0" t="s">
        <v>88</v>
      </c>
      <c r="D33" s="7" t="s">
        <v>105</v>
      </c>
    </row>
    <row r="34" customFormat="false" ht="15" hidden="false" customHeight="false" outlineLevel="0" collapsed="false">
      <c r="A34" s="0" t="s">
        <v>106</v>
      </c>
      <c r="B34" s="17" t="n">
        <v>0.32</v>
      </c>
      <c r="C34" s="0" t="s">
        <v>88</v>
      </c>
      <c r="D34" s="7" t="s">
        <v>107</v>
      </c>
    </row>
    <row r="35" customFormat="false" ht="15" hidden="false" customHeight="false" outlineLevel="0" collapsed="false">
      <c r="A35" s="0" t="s">
        <v>108</v>
      </c>
      <c r="B35" s="18" t="n">
        <v>3</v>
      </c>
      <c r="C35" s="0" t="s">
        <v>99</v>
      </c>
      <c r="D35" s="7" t="s">
        <v>109</v>
      </c>
    </row>
    <row r="36" customFormat="false" ht="15" hidden="false" customHeight="false" outlineLevel="0" collapsed="false">
      <c r="A36" s="0" t="s">
        <v>110</v>
      </c>
      <c r="B36" s="18" t="n">
        <v>5</v>
      </c>
      <c r="C36" s="0" t="s">
        <v>99</v>
      </c>
      <c r="D36" s="7" t="s">
        <v>111</v>
      </c>
    </row>
    <row r="37" customFormat="false" ht="15" hidden="false" customHeight="false" outlineLevel="0" collapsed="false">
      <c r="A37" s="0" t="s">
        <v>112</v>
      </c>
      <c r="B37" s="18" t="n">
        <v>8</v>
      </c>
      <c r="C37" s="0" t="s">
        <v>99</v>
      </c>
      <c r="D37" s="7" t="s">
        <v>111</v>
      </c>
    </row>
    <row r="38" customFormat="false" ht="15" hidden="false" customHeight="false" outlineLevel="0" collapsed="false">
      <c r="A38" s="0" t="s">
        <v>113</v>
      </c>
      <c r="B38" s="18" t="n">
        <v>300</v>
      </c>
      <c r="C38" s="0" t="s">
        <v>82</v>
      </c>
      <c r="D38" s="7" t="s">
        <v>114</v>
      </c>
    </row>
    <row r="39" customFormat="false" ht="15" hidden="false" customHeight="false" outlineLevel="0" collapsed="false">
      <c r="A39" s="0" t="s">
        <v>115</v>
      </c>
      <c r="B39" s="18" t="n">
        <v>100</v>
      </c>
      <c r="C39" s="0" t="s">
        <v>99</v>
      </c>
      <c r="D39" s="7" t="s">
        <v>116</v>
      </c>
    </row>
    <row r="40" customFormat="false" ht="15" hidden="false" customHeight="false" outlineLevel="0" collapsed="false">
      <c r="A40" s="0" t="s">
        <v>117</v>
      </c>
      <c r="B40" s="17" t="n">
        <v>0.05</v>
      </c>
      <c r="C40" s="0" t="s">
        <v>88</v>
      </c>
      <c r="D40" s="7" t="s">
        <v>118</v>
      </c>
    </row>
    <row r="41" customFormat="false" ht="15" hidden="false" customHeight="false" outlineLevel="0" collapsed="false">
      <c r="A41" s="0" t="s">
        <v>119</v>
      </c>
      <c r="B41" s="17" t="n">
        <v>0.03</v>
      </c>
      <c r="C41" s="0" t="s">
        <v>88</v>
      </c>
      <c r="D41" s="7" t="s">
        <v>111</v>
      </c>
    </row>
    <row r="42" customFormat="false" ht="15" hidden="false" customHeight="false" outlineLevel="0" collapsed="false">
      <c r="A42" s="0" t="s">
        <v>120</v>
      </c>
      <c r="B42" s="17" t="n">
        <v>0.08</v>
      </c>
      <c r="C42" s="0" t="s">
        <v>88</v>
      </c>
      <c r="D42" s="7" t="s">
        <v>121</v>
      </c>
    </row>
    <row r="43" customFormat="false" ht="15" hidden="false" customHeight="false" outlineLevel="0" collapsed="false">
      <c r="A43" s="0" t="s">
        <v>122</v>
      </c>
      <c r="B43" s="17" t="n">
        <v>0.05</v>
      </c>
      <c r="C43" s="0" t="s">
        <v>88</v>
      </c>
      <c r="D43" s="7" t="s">
        <v>111</v>
      </c>
    </row>
    <row r="44" customFormat="false" ht="15" hidden="false" customHeight="false" outlineLevel="0" collapsed="false">
      <c r="A44" s="0" t="s">
        <v>123</v>
      </c>
      <c r="B44" s="17" t="n">
        <v>0.1</v>
      </c>
      <c r="C44" s="0" t="s">
        <v>88</v>
      </c>
      <c r="D44" s="7" t="s">
        <v>111</v>
      </c>
    </row>
    <row r="45" customFormat="false" ht="15" hidden="false" customHeight="false" outlineLevel="0" collapsed="false">
      <c r="A45" s="0" t="s">
        <v>124</v>
      </c>
      <c r="B45" s="17" t="n">
        <v>0.1</v>
      </c>
      <c r="C45" s="0" t="s">
        <v>88</v>
      </c>
      <c r="D45" s="7" t="s">
        <v>111</v>
      </c>
    </row>
    <row r="46" customFormat="false" ht="15" hidden="false" customHeight="false" outlineLevel="0" collapsed="false">
      <c r="A46" s="0" t="s">
        <v>125</v>
      </c>
      <c r="B46" s="17" t="n">
        <v>0.55</v>
      </c>
      <c r="C46" s="0" t="s">
        <v>88</v>
      </c>
      <c r="D46" s="7" t="s">
        <v>126</v>
      </c>
    </row>
    <row r="47" customFormat="false" ht="15" hidden="false" customHeight="false" outlineLevel="0" collapsed="false">
      <c r="A47" s="0" t="s">
        <v>127</v>
      </c>
      <c r="B47" s="17" t="n">
        <v>0.565</v>
      </c>
      <c r="C47" s="0" t="s">
        <v>88</v>
      </c>
      <c r="D47" s="7" t="s">
        <v>128</v>
      </c>
    </row>
    <row r="48" customFormat="false" ht="15" hidden="false" customHeight="false" outlineLevel="0" collapsed="false">
      <c r="A48" s="0" t="s">
        <v>129</v>
      </c>
      <c r="B48" s="17" t="n">
        <v>0.575</v>
      </c>
      <c r="C48" s="0" t="s">
        <v>88</v>
      </c>
      <c r="D48" s="7" t="s">
        <v>111</v>
      </c>
    </row>
    <row r="49" customFormat="false" ht="15" hidden="false" customHeight="false" outlineLevel="0" collapsed="false">
      <c r="A49" s="0" t="s">
        <v>130</v>
      </c>
      <c r="B49" s="18" t="n">
        <v>4911.5</v>
      </c>
      <c r="C49" s="0" t="s">
        <v>82</v>
      </c>
      <c r="D49" s="7" t="s">
        <v>131</v>
      </c>
    </row>
    <row r="50" customFormat="false" ht="15" hidden="false" customHeight="false" outlineLevel="0" collapsed="false">
      <c r="A50" s="0" t="s">
        <v>132</v>
      </c>
      <c r="B50" s="18" t="n">
        <v>5400</v>
      </c>
      <c r="C50" s="0" t="s">
        <v>82</v>
      </c>
      <c r="D50" s="7" t="s">
        <v>111</v>
      </c>
    </row>
    <row r="51" customFormat="false" ht="15" hidden="false" customHeight="false" outlineLevel="0" collapsed="false">
      <c r="A51" s="0" t="s">
        <v>133</v>
      </c>
      <c r="B51" s="18" t="n">
        <v>5900</v>
      </c>
      <c r="C51" s="0" t="s">
        <v>82</v>
      </c>
      <c r="D51" s="7" t="s">
        <v>111</v>
      </c>
    </row>
    <row r="52" customFormat="false" ht="15" hidden="false" customHeight="false" outlineLevel="0" collapsed="false">
      <c r="A52" s="0" t="s">
        <v>134</v>
      </c>
      <c r="B52" s="18" t="n">
        <v>1425</v>
      </c>
      <c r="C52" s="0" t="s">
        <v>82</v>
      </c>
      <c r="D52" s="7" t="s">
        <v>135</v>
      </c>
    </row>
    <row r="53" customFormat="false" ht="15" hidden="false" customHeight="false" outlineLevel="0" collapsed="false">
      <c r="A53" s="0" t="s">
        <v>136</v>
      </c>
      <c r="B53" s="18" t="n">
        <v>1550</v>
      </c>
      <c r="C53" s="0" t="s">
        <v>82</v>
      </c>
      <c r="D53" s="7" t="s">
        <v>111</v>
      </c>
    </row>
    <row r="54" customFormat="false" ht="15" hidden="false" customHeight="false" outlineLevel="0" collapsed="false">
      <c r="A54" s="0" t="s">
        <v>137</v>
      </c>
      <c r="B54" s="18" t="n">
        <v>1650</v>
      </c>
      <c r="C54" s="0" t="s">
        <v>82</v>
      </c>
      <c r="D54" s="7" t="s">
        <v>111</v>
      </c>
    </row>
    <row r="55" customFormat="false" ht="15" hidden="false" customHeight="false" outlineLevel="0" collapsed="false">
      <c r="A55" s="0" t="s">
        <v>138</v>
      </c>
      <c r="B55" s="18" t="n">
        <v>150</v>
      </c>
      <c r="C55" s="0" t="s">
        <v>82</v>
      </c>
      <c r="D55" s="7" t="s">
        <v>139</v>
      </c>
    </row>
    <row r="56" customFormat="false" ht="15" hidden="false" customHeight="false" outlineLevel="0" collapsed="false">
      <c r="A56" s="0" t="s">
        <v>140</v>
      </c>
      <c r="B56" s="18" t="n">
        <v>100</v>
      </c>
      <c r="C56" s="0" t="s">
        <v>82</v>
      </c>
      <c r="D56" s="7" t="s">
        <v>111</v>
      </c>
    </row>
    <row r="57" customFormat="false" ht="15" hidden="false" customHeight="false" outlineLevel="0" collapsed="false">
      <c r="A57" s="0" t="s">
        <v>141</v>
      </c>
      <c r="B57" s="18" t="n">
        <v>100</v>
      </c>
      <c r="C57" s="0" t="s">
        <v>82</v>
      </c>
      <c r="D57" s="7" t="s">
        <v>111</v>
      </c>
    </row>
    <row r="58" customFormat="false" ht="15" hidden="false" customHeight="false" outlineLevel="0" collapsed="false">
      <c r="A58" s="0" t="s">
        <v>142</v>
      </c>
      <c r="B58" s="18" t="n">
        <v>250</v>
      </c>
      <c r="C58" s="0" t="s">
        <v>82</v>
      </c>
      <c r="D58" s="7" t="s">
        <v>143</v>
      </c>
    </row>
    <row r="59" customFormat="false" ht="15" hidden="false" customHeight="false" outlineLevel="0" collapsed="false">
      <c r="A59" s="0" t="s">
        <v>144</v>
      </c>
      <c r="B59" s="18" t="n">
        <v>250</v>
      </c>
      <c r="C59" s="0" t="s">
        <v>82</v>
      </c>
      <c r="D59" s="7" t="s">
        <v>111</v>
      </c>
    </row>
    <row r="60" customFormat="false" ht="15" hidden="false" customHeight="false" outlineLevel="0" collapsed="false">
      <c r="A60" s="0" t="s">
        <v>145</v>
      </c>
      <c r="B60" s="18" t="n">
        <v>250</v>
      </c>
      <c r="C60" s="0" t="s">
        <v>82</v>
      </c>
      <c r="D60" s="7" t="s">
        <v>111</v>
      </c>
    </row>
    <row r="61" customFormat="false" ht="15" hidden="false" customHeight="false" outlineLevel="0" collapsed="false">
      <c r="A61" s="0" t="s">
        <v>146</v>
      </c>
      <c r="B61" s="16" t="n">
        <v>0.17</v>
      </c>
      <c r="C61" s="0" t="s">
        <v>88</v>
      </c>
      <c r="D61" s="7" t="s">
        <v>147</v>
      </c>
    </row>
    <row r="62" customFormat="false" ht="15" hidden="false" customHeight="false" outlineLevel="0" collapsed="false">
      <c r="A62" s="0" t="s">
        <v>148</v>
      </c>
      <c r="B62" s="18" t="n">
        <v>384.5</v>
      </c>
      <c r="C62" s="0" t="s">
        <v>71</v>
      </c>
      <c r="D62" s="7" t="s">
        <v>149</v>
      </c>
    </row>
    <row r="63" customFormat="false" ht="15" hidden="false" customHeight="false" outlineLevel="0" collapsed="false">
      <c r="A63" s="0" t="s">
        <v>150</v>
      </c>
      <c r="B63" s="18" t="n">
        <v>382</v>
      </c>
      <c r="C63" s="0" t="s">
        <v>71</v>
      </c>
      <c r="D63" s="7" t="s">
        <v>151</v>
      </c>
    </row>
    <row r="64" customFormat="false" ht="15" hidden="false" customHeight="false" outlineLevel="0" collapsed="false">
      <c r="A64" s="0" t="s">
        <v>152</v>
      </c>
      <c r="B64" s="18" t="n">
        <v>379.5</v>
      </c>
      <c r="C64" s="0" t="s">
        <v>71</v>
      </c>
      <c r="D64" s="7" t="s">
        <v>111</v>
      </c>
    </row>
    <row r="65" customFormat="false" ht="15" hidden="false" customHeight="false" outlineLevel="0" collapsed="false">
      <c r="A65" s="0" t="s">
        <v>153</v>
      </c>
      <c r="B65" s="19" t="n">
        <v>28</v>
      </c>
      <c r="C65" s="0" t="s">
        <v>154</v>
      </c>
      <c r="D65" s="7" t="s">
        <v>155</v>
      </c>
    </row>
    <row r="66" customFormat="false" ht="15" hidden="false" customHeight="false" outlineLevel="0" collapsed="false">
      <c r="A66" s="0" t="s">
        <v>156</v>
      </c>
      <c r="B66" s="17" t="n">
        <v>0.085</v>
      </c>
      <c r="C66" s="0" t="s">
        <v>88</v>
      </c>
      <c r="D66" s="7" t="s">
        <v>111</v>
      </c>
    </row>
    <row r="67" customFormat="false" ht="15" hidden="false" customHeight="false" outlineLevel="0" collapsed="false">
      <c r="A67" s="0" t="s">
        <v>157</v>
      </c>
      <c r="B67" s="17" t="n">
        <v>0.95</v>
      </c>
      <c r="C67" s="0" t="s">
        <v>88</v>
      </c>
      <c r="D67" s="7" t="s">
        <v>158</v>
      </c>
    </row>
    <row r="68" customFormat="false" ht="15" hidden="false" customHeight="false" outlineLevel="0" collapsed="false">
      <c r="A68" s="0" t="s">
        <v>159</v>
      </c>
      <c r="B68" s="16" t="n">
        <v>1.15</v>
      </c>
      <c r="C68" s="0" t="s">
        <v>88</v>
      </c>
      <c r="D68" s="7" t="s">
        <v>160</v>
      </c>
    </row>
    <row r="69" customFormat="false" ht="15" hidden="false" customHeight="false" outlineLevel="0" collapsed="false">
      <c r="A69" s="0" t="s">
        <v>161</v>
      </c>
      <c r="B69" s="17" t="n">
        <v>0.1</v>
      </c>
      <c r="C69" s="0" t="s">
        <v>88</v>
      </c>
      <c r="D69" s="7" t="s">
        <v>111</v>
      </c>
    </row>
    <row r="70" customFormat="false" ht="15" hidden="false" customHeight="false" outlineLevel="0" collapsed="false">
      <c r="A70" s="0" t="s">
        <v>162</v>
      </c>
      <c r="B70" s="17" t="n">
        <v>0.08</v>
      </c>
      <c r="C70" s="0" t="s">
        <v>88</v>
      </c>
      <c r="D70" s="7" t="s">
        <v>111</v>
      </c>
    </row>
    <row r="71" customFormat="false" ht="15" hidden="false" customHeight="false" outlineLevel="0" collapsed="false">
      <c r="A71" s="0" t="s">
        <v>163</v>
      </c>
      <c r="B71" s="17" t="n">
        <v>0.06</v>
      </c>
      <c r="C71" s="0" t="s">
        <v>88</v>
      </c>
      <c r="D71" s="7" t="s">
        <v>111</v>
      </c>
    </row>
    <row r="72" customFormat="false" ht="15" hidden="false" customHeight="false" outlineLevel="0" collapsed="false">
      <c r="A72" s="0" t="s">
        <v>164</v>
      </c>
      <c r="B72" s="17" t="n">
        <v>0.05</v>
      </c>
      <c r="C72" s="0" t="s">
        <v>88</v>
      </c>
      <c r="D72" s="7" t="s">
        <v>111</v>
      </c>
    </row>
    <row r="73" customFormat="false" ht="15" hidden="false" customHeight="false" outlineLevel="0" collapsed="false">
      <c r="A73" s="0" t="s">
        <v>165</v>
      </c>
      <c r="B73" s="17" t="n">
        <v>0.03</v>
      </c>
      <c r="C73" s="0" t="s">
        <v>88</v>
      </c>
      <c r="D73" s="7"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6"/>
    <col collapsed="false" customWidth="true" hidden="false" outlineLevel="0" max="7" min="2" style="0" width="12"/>
  </cols>
  <sheetData>
    <row r="1" customFormat="false" ht="15" hidden="false" customHeight="false" outlineLevel="0" collapsed="false">
      <c r="A1" s="1" t="s">
        <v>166</v>
      </c>
    </row>
    <row r="2" customFormat="false" ht="15" hidden="false" customHeight="false" outlineLevel="0" collapsed="false">
      <c r="A2" s="2" t="s">
        <v>1</v>
      </c>
    </row>
    <row r="4" customFormat="false" ht="15" hidden="false" customHeight="false" outlineLevel="0" collapsed="false">
      <c r="A4" s="3" t="s">
        <v>167</v>
      </c>
      <c r="B4" s="4" t="s">
        <v>168</v>
      </c>
      <c r="C4" s="4" t="s">
        <v>169</v>
      </c>
      <c r="D4" s="4" t="s">
        <v>170</v>
      </c>
      <c r="E4" s="4" t="s">
        <v>171</v>
      </c>
      <c r="F4" s="4" t="s">
        <v>172</v>
      </c>
      <c r="G4" s="4" t="s">
        <v>173</v>
      </c>
    </row>
    <row r="5" customFormat="false" ht="15" hidden="false" customHeight="false" outlineLevel="0" collapsed="false">
      <c r="A5" s="0" t="s">
        <v>174</v>
      </c>
      <c r="B5" s="20" t="n">
        <v>5596.1</v>
      </c>
      <c r="C5" s="20" t="n">
        <v>5553.8</v>
      </c>
      <c r="D5" s="20" t="n">
        <v>7584</v>
      </c>
      <c r="E5" s="20" t="n">
        <v>6279.4</v>
      </c>
      <c r="F5" s="20" t="n">
        <v>6564.8</v>
      </c>
      <c r="G5" s="21" t="n">
        <f aca="false">G7-G6</f>
        <v>8600</v>
      </c>
    </row>
    <row r="6" customFormat="false" ht="15" hidden="false" customHeight="false" outlineLevel="0" collapsed="false">
      <c r="A6" s="0" t="s">
        <v>175</v>
      </c>
      <c r="B6" s="20" t="n">
        <v>2095.6</v>
      </c>
      <c r="C6" s="20" t="n">
        <v>1962.2</v>
      </c>
      <c r="D6" s="20" t="n">
        <v>2134.1</v>
      </c>
      <c r="E6" s="20" t="n">
        <v>2487.5</v>
      </c>
      <c r="F6" s="20" t="n">
        <v>2761.7</v>
      </c>
      <c r="G6" s="20" t="n">
        <v>2900</v>
      </c>
    </row>
    <row r="7" customFormat="false" ht="15" hidden="false" customHeight="false" outlineLevel="0" collapsed="false">
      <c r="A7" s="0" t="s">
        <v>176</v>
      </c>
      <c r="B7" s="21" t="n">
        <f aca="false">B5+B6</f>
        <v>7691.7</v>
      </c>
      <c r="C7" s="21" t="n">
        <f aca="false">C5+C6</f>
        <v>7516</v>
      </c>
      <c r="D7" s="21" t="n">
        <f aca="false">D5+D6</f>
        <v>9718.1</v>
      </c>
      <c r="E7" s="21" t="n">
        <f aca="false">E5+E6</f>
        <v>8766.9</v>
      </c>
      <c r="F7" s="21" t="n">
        <f aca="false">F5+F6</f>
        <v>9326.5</v>
      </c>
      <c r="G7" s="20" t="n">
        <v>11500</v>
      </c>
    </row>
    <row r="8" customFormat="false" ht="15" hidden="false" customHeight="false" outlineLevel="0" collapsed="false">
      <c r="A8" s="0" t="s">
        <v>177</v>
      </c>
      <c r="B8" s="22" t="n">
        <v>0.537</v>
      </c>
      <c r="C8" s="22" t="n">
        <v>0.516</v>
      </c>
      <c r="D8" s="22" t="n">
        <v>0.522</v>
      </c>
      <c r="E8" s="22" t="n">
        <v>0.53</v>
      </c>
      <c r="F8" s="22" t="n">
        <v>0.54</v>
      </c>
      <c r="G8" s="22" t="n">
        <v>0.56</v>
      </c>
    </row>
    <row r="9" customFormat="false" ht="15" hidden="false" customHeight="false" outlineLevel="0" collapsed="false">
      <c r="A9" s="0" t="s">
        <v>178</v>
      </c>
      <c r="B9" s="23" t="n">
        <f aca="false">B6/B7</f>
        <v>0.272449523512357</v>
      </c>
      <c r="C9" s="23" t="n">
        <f aca="false">C6/C7</f>
        <v>0.261069717935072</v>
      </c>
      <c r="D9" s="23" t="n">
        <f aca="false">D6/D7</f>
        <v>0.219600539200049</v>
      </c>
      <c r="E9" s="23" t="n">
        <f aca="false">E6/E7</f>
        <v>0.283737695194425</v>
      </c>
      <c r="F9" s="23" t="n">
        <f aca="false">F6/F7</f>
        <v>0.29611322575457</v>
      </c>
      <c r="G9" s="23" t="n">
        <f aca="false">G6/G7</f>
        <v>0.252173913043478</v>
      </c>
    </row>
    <row r="11" customFormat="false" ht="15" hidden="false" customHeight="false" outlineLevel="0" collapsed="false">
      <c r="A11" s="11" t="s">
        <v>179</v>
      </c>
    </row>
    <row r="12" customFormat="false" ht="15" hidden="false" customHeight="false" outlineLevel="0" collapsed="false">
      <c r="A12" s="0" t="s">
        <v>180</v>
      </c>
      <c r="B12" s="23" t="n">
        <f aca="false">(E6+F6)/4096.7-1</f>
        <v>0.281323992481754</v>
      </c>
    </row>
    <row r="13" customFormat="false" ht="15" hidden="false" customHeight="false" outlineLevel="0" collapsed="false">
      <c r="A13" s="0" t="s">
        <v>181</v>
      </c>
      <c r="B13" s="21" t="n">
        <f aca="false">0.66*E5</f>
        <v>4144.404</v>
      </c>
    </row>
    <row r="14" customFormat="false" ht="15" hidden="false" customHeight="false" outlineLevel="0" collapsed="false">
      <c r="A14" s="0" t="s">
        <v>182</v>
      </c>
      <c r="B14" s="20" t="n">
        <v>3800</v>
      </c>
    </row>
    <row r="15" customFormat="false" ht="15" hidden="false" customHeight="false" outlineLevel="0" collapsed="false">
      <c r="A15" s="0" t="s">
        <v>183</v>
      </c>
      <c r="B15" s="23" t="n">
        <f aca="false">G6/C6-1</f>
        <v>0.477932932422791</v>
      </c>
    </row>
    <row r="16" customFormat="false" ht="15" hidden="false" customHeight="false" outlineLevel="0" collapsed="false">
      <c r="A16" s="0" t="s">
        <v>184</v>
      </c>
      <c r="B16" s="21" t="n">
        <f aca="false">E7+F7</f>
        <v>18093.4</v>
      </c>
    </row>
    <row r="18" customFormat="false" ht="15" hidden="false" customHeight="false" outlineLevel="0" collapsed="false">
      <c r="A18" s="12" t="s">
        <v>185</v>
      </c>
    </row>
    <row r="19" customFormat="false" ht="15" hidden="false" customHeight="false" outlineLevel="0" collapsed="false">
      <c r="A19" s="12" t="s">
        <v>186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7" min="2" style="0" width="12"/>
  </cols>
  <sheetData>
    <row r="1" customFormat="false" ht="15" hidden="false" customHeight="false" outlineLevel="0" collapsed="false">
      <c r="A1" s="1" t="s">
        <v>187</v>
      </c>
    </row>
    <row r="2" customFormat="false" ht="15" hidden="false" customHeight="false" outlineLevel="0" collapsed="false">
      <c r="A2" s="2" t="s">
        <v>1</v>
      </c>
    </row>
    <row r="4" customFormat="false" ht="15" hidden="false" customHeight="false" outlineLevel="0" collapsed="false">
      <c r="A4" s="3" t="s">
        <v>167</v>
      </c>
      <c r="B4" s="4" t="s">
        <v>188</v>
      </c>
      <c r="C4" s="4" t="s">
        <v>189</v>
      </c>
      <c r="D4" s="4" t="s">
        <v>190</v>
      </c>
      <c r="E4" s="4" t="s">
        <v>191</v>
      </c>
      <c r="F4" s="4" t="s">
        <v>192</v>
      </c>
      <c r="G4" s="4" t="s">
        <v>193</v>
      </c>
    </row>
    <row r="5" customFormat="false" ht="15" hidden="false" customHeight="false" outlineLevel="0" collapsed="false">
      <c r="A5" s="24" t="s">
        <v>194</v>
      </c>
      <c r="B5" s="20" t="n">
        <v>53</v>
      </c>
      <c r="C5" s="20" t="n">
        <v>42</v>
      </c>
      <c r="D5" s="20" t="n">
        <v>44</v>
      </c>
      <c r="E5" s="25" t="n">
        <f aca="false">Assumptions!$B$30</f>
        <v>65</v>
      </c>
      <c r="F5" s="25" t="n">
        <f aca="false">Assumptions!$B$31</f>
        <v>85</v>
      </c>
      <c r="G5" s="25" t="n">
        <f aca="false">Assumptions!$B$39</f>
        <v>100</v>
      </c>
    </row>
    <row r="6" customFormat="false" ht="15" hidden="false" customHeight="false" outlineLevel="0" collapsed="false">
      <c r="A6" s="24" t="s">
        <v>195</v>
      </c>
      <c r="B6" s="26" t="n">
        <f aca="false">B7/B5</f>
        <v>172.150943396226</v>
      </c>
      <c r="C6" s="26" t="n">
        <f aca="false">C7/C5</f>
        <v>187.057142857143</v>
      </c>
      <c r="D6" s="26" t="n">
        <f aca="false">D7/D5</f>
        <v>237.404545454545</v>
      </c>
      <c r="E6" s="26" t="n">
        <f aca="false">E7/E5</f>
        <v>248.553369230769</v>
      </c>
      <c r="F6" s="26" t="n">
        <f aca="false">E6*(1+Assumptions!$B$40)</f>
        <v>260.981037692308</v>
      </c>
      <c r="G6" s="26" t="n">
        <f aca="false">F6*(1+Assumptions!$B$41)</f>
        <v>268.810468823077</v>
      </c>
    </row>
    <row r="7" customFormat="false" ht="15" hidden="false" customHeight="false" outlineLevel="0" collapsed="false">
      <c r="A7" s="24" t="s">
        <v>196</v>
      </c>
      <c r="B7" s="20" t="n">
        <v>9124</v>
      </c>
      <c r="C7" s="20" t="n">
        <v>7856.4</v>
      </c>
      <c r="D7" s="20" t="n">
        <v>10445.8</v>
      </c>
      <c r="E7" s="21" t="n">
        <f aca="false">E10-E9</f>
        <v>16155.969</v>
      </c>
      <c r="F7" s="21" t="n">
        <f aca="false">F5*F6</f>
        <v>22183.3882038462</v>
      </c>
      <c r="G7" s="21" t="n">
        <f aca="false">G5*G6</f>
        <v>26881.0468823077</v>
      </c>
    </row>
    <row r="8" customFormat="false" ht="15" hidden="false" customHeight="false" outlineLevel="0" collapsed="false">
      <c r="A8" s="24" t="s">
        <v>197</v>
      </c>
      <c r="B8" s="20" t="n">
        <v>0</v>
      </c>
      <c r="C8" s="20" t="n">
        <v>2</v>
      </c>
      <c r="D8" s="20" t="n">
        <v>4</v>
      </c>
      <c r="E8" s="25" t="n">
        <f aca="false">Assumptions!$B$35</f>
        <v>3</v>
      </c>
      <c r="F8" s="25" t="n">
        <f aca="false">Assumptions!$B$36</f>
        <v>5</v>
      </c>
      <c r="G8" s="25" t="n">
        <f aca="false">Assumptions!$B$37</f>
        <v>8</v>
      </c>
    </row>
    <row r="9" customFormat="false" ht="15" hidden="false" customHeight="false" outlineLevel="0" collapsed="false">
      <c r="A9" s="24" t="s">
        <v>198</v>
      </c>
      <c r="B9" s="20" t="n">
        <v>0</v>
      </c>
      <c r="C9" s="20" t="n">
        <v>465</v>
      </c>
      <c r="D9" s="20" t="n">
        <v>1156.9</v>
      </c>
      <c r="E9" s="21" t="n">
        <f aca="false">E8*Assumptions!$B$38</f>
        <v>900</v>
      </c>
      <c r="F9" s="21" t="n">
        <f aca="false">F8*Assumptions!$B$38</f>
        <v>1500</v>
      </c>
      <c r="G9" s="21" t="n">
        <f aca="false">G8*Assumptions!$B$38</f>
        <v>2400</v>
      </c>
    </row>
    <row r="10" customFormat="false" ht="15" hidden="false" customHeight="false" outlineLevel="0" collapsed="false">
      <c r="A10" s="5" t="s">
        <v>199</v>
      </c>
      <c r="B10" s="21" t="n">
        <f aca="false">B7+B9</f>
        <v>9124</v>
      </c>
      <c r="C10" s="21" t="n">
        <f aca="false">C7+C9</f>
        <v>8321.4</v>
      </c>
      <c r="D10" s="21" t="n">
        <f aca="false">D7+D9</f>
        <v>11602.7</v>
      </c>
      <c r="E10" s="21" t="n">
        <f aca="false">D10*(1+Assumptions!$B$33)</f>
        <v>17055.969</v>
      </c>
      <c r="F10" s="21" t="n">
        <f aca="false">F7+F9</f>
        <v>23683.3882038462</v>
      </c>
      <c r="G10" s="21" t="n">
        <f aca="false">G7+G9</f>
        <v>29281.0468823077</v>
      </c>
    </row>
    <row r="11" customFormat="false" ht="15" hidden="false" customHeight="false" outlineLevel="0" collapsed="false">
      <c r="A11" s="24" t="s">
        <v>200</v>
      </c>
      <c r="B11" s="23"/>
      <c r="C11" s="23" t="n">
        <f aca="false">C10/B10-1</f>
        <v>-0.087965804471723</v>
      </c>
      <c r="D11" s="23" t="n">
        <f aca="false">D10/C10-1</f>
        <v>0.394320667195424</v>
      </c>
      <c r="E11" s="23" t="n">
        <f aca="false">E10/D10-1</f>
        <v>0.47</v>
      </c>
      <c r="F11" s="23" t="n">
        <f aca="false">F10/E10-1</f>
        <v>0.388568905340187</v>
      </c>
      <c r="G11" s="23" t="n">
        <f aca="false">G10/F10-1</f>
        <v>0.236353794916577</v>
      </c>
    </row>
    <row r="12" customFormat="false" ht="15" hidden="false" customHeight="false" outlineLevel="0" collapsed="false">
      <c r="A12" s="24" t="s">
        <v>201</v>
      </c>
      <c r="B12" s="20" t="n">
        <v>12814.6</v>
      </c>
      <c r="C12" s="20" t="n">
        <v>13447.3</v>
      </c>
      <c r="D12" s="20" t="n">
        <v>12871.6</v>
      </c>
      <c r="E12" s="21" t="n">
        <f aca="false">D12*(1+Assumptions!$B$29)</f>
        <v>16089.5</v>
      </c>
      <c r="F12" s="21" t="n">
        <f aca="false">E12*(1+Assumptions!$B$42)</f>
        <v>17376.66</v>
      </c>
      <c r="G12" s="21" t="n">
        <f aca="false">F12*(1+Assumptions!$B$43)</f>
        <v>18245.493</v>
      </c>
    </row>
    <row r="13" customFormat="false" ht="15" hidden="false" customHeight="false" outlineLevel="0" collapsed="false">
      <c r="A13" s="5" t="s">
        <v>174</v>
      </c>
      <c r="B13" s="21" t="n">
        <f aca="false">B10+B12</f>
        <v>21938.6</v>
      </c>
      <c r="C13" s="21" t="n">
        <f aca="false">C10+C12</f>
        <v>21768.7</v>
      </c>
      <c r="D13" s="21" t="n">
        <f aca="false">D10+D12</f>
        <v>24474.3</v>
      </c>
      <c r="E13" s="21" t="n">
        <f aca="false">E10+E12</f>
        <v>33145.469</v>
      </c>
      <c r="F13" s="21" t="n">
        <f aca="false">F10+F12</f>
        <v>41060.0482038462</v>
      </c>
      <c r="G13" s="21" t="n">
        <f aca="false">G10+G12</f>
        <v>47526.5398823077</v>
      </c>
    </row>
    <row r="14" customFormat="false" ht="15" hidden="false" customHeight="false" outlineLevel="0" collapsed="false">
      <c r="A14" s="24" t="s">
        <v>175</v>
      </c>
      <c r="B14" s="20" t="n">
        <v>5619.9</v>
      </c>
      <c r="C14" s="20" t="n">
        <v>6494.2</v>
      </c>
      <c r="D14" s="20" t="n">
        <v>8193</v>
      </c>
      <c r="E14" s="21" t="n">
        <f aca="false">D14*(1+Assumptions!$B$34)</f>
        <v>10814.76</v>
      </c>
      <c r="F14" s="21" t="n">
        <f aca="false">E14*(1+Assumptions!$B$44)</f>
        <v>11896.236</v>
      </c>
      <c r="G14" s="21" t="n">
        <f aca="false">F14*(1+Assumptions!$B$45)</f>
        <v>13085.8596</v>
      </c>
    </row>
    <row r="15" customFormat="false" ht="15" hidden="false" customHeight="false" outlineLevel="0" collapsed="false">
      <c r="A15" s="5" t="s">
        <v>176</v>
      </c>
      <c r="B15" s="21" t="n">
        <f aca="false">B13+B14</f>
        <v>27558.5</v>
      </c>
      <c r="C15" s="21" t="n">
        <f aca="false">C13+C14</f>
        <v>28262.9</v>
      </c>
      <c r="D15" s="21" t="n">
        <f aca="false">D13+D14</f>
        <v>32667.3</v>
      </c>
      <c r="E15" s="21" t="n">
        <f aca="false">E13+E14</f>
        <v>43960.229</v>
      </c>
      <c r="F15" s="21" t="n">
        <f aca="false">F13+F14</f>
        <v>52956.2842038462</v>
      </c>
      <c r="G15" s="21" t="n">
        <f aca="false">G13+G14</f>
        <v>60612.3994823077</v>
      </c>
    </row>
    <row r="16" customFormat="false" ht="15" hidden="false" customHeight="false" outlineLevel="0" collapsed="false">
      <c r="A16" s="24" t="s">
        <v>178</v>
      </c>
      <c r="B16" s="23" t="n">
        <f aca="false">B14/B15</f>
        <v>0.203926193370466</v>
      </c>
      <c r="C16" s="23" t="n">
        <f aca="false">C14/C15</f>
        <v>0.229778260546512</v>
      </c>
      <c r="D16" s="23" t="n">
        <f aca="false">D14/D15</f>
        <v>0.250801259975572</v>
      </c>
      <c r="E16" s="23" t="n">
        <f aca="false">E14/E15</f>
        <v>0.24601236722402</v>
      </c>
      <c r="F16" s="23" t="n">
        <f aca="false">F14/F15</f>
        <v>0.224642574131664</v>
      </c>
      <c r="G16" s="23" t="n">
        <f aca="false">G14/G15</f>
        <v>0.215894102721006</v>
      </c>
    </row>
    <row r="17" customFormat="false" ht="15" hidden="false" customHeight="false" outlineLevel="0" collapsed="false">
      <c r="A17" s="24" t="s">
        <v>202</v>
      </c>
      <c r="B17" s="23" t="n">
        <f aca="false">B10/B13</f>
        <v>0.415887978266617</v>
      </c>
      <c r="C17" s="23" t="n">
        <f aca="false">C10/C13</f>
        <v>0.382264443903403</v>
      </c>
      <c r="D17" s="23" t="n">
        <f aca="false">D10/D13</f>
        <v>0.474076888818066</v>
      </c>
      <c r="E17" s="23" t="n">
        <f aca="false">E10/E13</f>
        <v>0.514579202363979</v>
      </c>
      <c r="F17" s="23" t="n">
        <f aca="false">F10/F13</f>
        <v>0.576798840719035</v>
      </c>
      <c r="G17" s="23" t="n">
        <f aca="false">G10/G13</f>
        <v>0.616098856656045</v>
      </c>
    </row>
    <row r="18" customFormat="false" ht="15" hidden="false" customHeight="false" outlineLevel="0" collapsed="false">
      <c r="A18" s="24" t="s">
        <v>203</v>
      </c>
      <c r="B18" s="20" t="n">
        <v>7251.8</v>
      </c>
      <c r="C18" s="20" t="n">
        <v>10195.1</v>
      </c>
      <c r="D18" s="20" t="n">
        <v>9519.7</v>
      </c>
      <c r="E18" s="21"/>
      <c r="F18" s="21"/>
      <c r="G18" s="21"/>
    </row>
    <row r="19" customFormat="false" ht="15" hidden="false" customHeight="false" outlineLevel="0" collapsed="false">
      <c r="A19" s="24" t="s">
        <v>204</v>
      </c>
      <c r="B19" s="23" t="n">
        <f aca="false">B18/B15</f>
        <v>0.263142043289729</v>
      </c>
      <c r="C19" s="23" t="n">
        <f aca="false">C18/C15</f>
        <v>0.360723775691808</v>
      </c>
      <c r="D19" s="23" t="n">
        <f aca="false">D18/D15</f>
        <v>0.291413737896918</v>
      </c>
      <c r="E19" s="22" t="n">
        <v>0.2</v>
      </c>
      <c r="F19" s="23"/>
      <c r="G19" s="23"/>
    </row>
    <row r="20" customFormat="false" ht="15" hidden="false" customHeight="false" outlineLevel="0" collapsed="false">
      <c r="A20" s="24" t="s">
        <v>205</v>
      </c>
      <c r="B20" s="23"/>
      <c r="C20" s="22" t="n">
        <f aca="false">(21768.7-10406.9)/21768.7</f>
        <v>0.521932866914423</v>
      </c>
      <c r="D20" s="22" t="n">
        <f aca="false">(24474.3-11384)/24474.3</f>
        <v>0.534859015375312</v>
      </c>
      <c r="E20" s="23"/>
      <c r="F20" s="23"/>
      <c r="G20" s="23"/>
    </row>
    <row r="21" customFormat="false" ht="15" hidden="false" customHeight="false" outlineLevel="0" collapsed="false">
      <c r="A21" s="24" t="s">
        <v>206</v>
      </c>
      <c r="B21" s="23"/>
      <c r="C21" s="22" t="n">
        <f aca="false">(6494.2-3364)/6494.2</f>
        <v>0.48199932247236</v>
      </c>
      <c r="D21" s="22" t="n">
        <f aca="false">(8193-4025.3)/8193</f>
        <v>0.508690345416819</v>
      </c>
      <c r="E21" s="23"/>
      <c r="F21" s="23"/>
      <c r="G21" s="23"/>
    </row>
    <row r="23" customFormat="false" ht="15" hidden="false" customHeight="false" outlineLevel="0" collapsed="false">
      <c r="A23" s="12" t="s">
        <v>207</v>
      </c>
    </row>
    <row r="24" customFormat="false" ht="15" hidden="false" customHeight="false" outlineLevel="0" collapsed="false">
      <c r="A24" s="12" t="s">
        <v>208</v>
      </c>
    </row>
    <row r="25" customFormat="false" ht="15" hidden="false" customHeight="false" outlineLevel="0" collapsed="false">
      <c r="A25" s="12" t="s">
        <v>209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7" min="2" style="0" width="12"/>
  </cols>
  <sheetData>
    <row r="1" customFormat="false" ht="15" hidden="false" customHeight="false" outlineLevel="0" collapsed="false">
      <c r="A1" s="1" t="s">
        <v>210</v>
      </c>
    </row>
    <row r="2" customFormat="false" ht="15" hidden="false" customHeight="false" outlineLevel="0" collapsed="false">
      <c r="A2" s="2" t="s">
        <v>1</v>
      </c>
    </row>
    <row r="4" customFormat="false" ht="15" hidden="false" customHeight="false" outlineLevel="0" collapsed="false">
      <c r="A4" s="3"/>
      <c r="B4" s="4" t="s">
        <v>189</v>
      </c>
      <c r="C4" s="4" t="s">
        <v>190</v>
      </c>
      <c r="D4" s="4" t="s">
        <v>211</v>
      </c>
      <c r="E4" s="4" t="s">
        <v>191</v>
      </c>
      <c r="F4" s="4" t="s">
        <v>192</v>
      </c>
      <c r="G4" s="4" t="s">
        <v>193</v>
      </c>
    </row>
    <row r="5" customFormat="false" ht="15" hidden="false" customHeight="false" outlineLevel="0" collapsed="false">
      <c r="A5" s="5" t="s">
        <v>176</v>
      </c>
      <c r="B5" s="20" t="n">
        <v>28262.9</v>
      </c>
      <c r="C5" s="20" t="n">
        <v>32667.3</v>
      </c>
      <c r="D5" s="20" t="n">
        <v>18093.4</v>
      </c>
      <c r="E5" s="21" t="n">
        <f aca="false">Segments!E15</f>
        <v>43960.229</v>
      </c>
      <c r="F5" s="21" t="n">
        <f aca="false">Segments!F15</f>
        <v>52956.2842038462</v>
      </c>
      <c r="G5" s="21" t="n">
        <f aca="false">Segments!G15</f>
        <v>60612.3994823077</v>
      </c>
    </row>
    <row r="6" customFormat="false" ht="15" hidden="false" customHeight="false" outlineLevel="0" collapsed="false">
      <c r="A6" s="24" t="s">
        <v>212</v>
      </c>
      <c r="B6" s="23"/>
      <c r="C6" s="23" t="n">
        <f aca="false">C5/B5-1</f>
        <v>0.155836803725025</v>
      </c>
      <c r="D6" s="23" t="n">
        <f aca="false">D5/15433.2-1</f>
        <v>0.172368659772439</v>
      </c>
      <c r="E6" s="23" t="n">
        <f aca="false">E5/C5-1</f>
        <v>0.345695205909273</v>
      </c>
      <c r="F6" s="23" t="n">
        <f aca="false">F5/E5-1</f>
        <v>0.20464077209075</v>
      </c>
      <c r="G6" s="23" t="n">
        <f aca="false">G5/F5-1</f>
        <v>0.144574253907065</v>
      </c>
    </row>
    <row r="7" customFormat="false" ht="15" hidden="false" customHeight="false" outlineLevel="0" collapsed="false">
      <c r="A7" s="24" t="s">
        <v>177</v>
      </c>
      <c r="B7" s="23" t="n">
        <f aca="false">B8/B5</f>
        <v>0.512757006535069</v>
      </c>
      <c r="C7" s="23" t="n">
        <f aca="false">C8/C5</f>
        <v>0.528295879977837</v>
      </c>
      <c r="D7" s="23" t="n">
        <f aca="false">D8/D5</f>
        <v>0.535023820840749</v>
      </c>
      <c r="E7" s="10" t="n">
        <f aca="false">Assumptions!$B$46</f>
        <v>0.55</v>
      </c>
      <c r="F7" s="10" t="n">
        <f aca="false">Assumptions!$B$47</f>
        <v>0.565</v>
      </c>
      <c r="G7" s="10" t="n">
        <f aca="false">Assumptions!$B$48</f>
        <v>0.575</v>
      </c>
    </row>
    <row r="8" customFormat="false" ht="15" hidden="false" customHeight="false" outlineLevel="0" collapsed="false">
      <c r="A8" s="5" t="s">
        <v>213</v>
      </c>
      <c r="B8" s="20" t="n">
        <v>14492</v>
      </c>
      <c r="C8" s="20" t="n">
        <v>17258</v>
      </c>
      <c r="D8" s="20" t="n">
        <v>9680.4</v>
      </c>
      <c r="E8" s="21" t="n">
        <f aca="false">E5*E7</f>
        <v>24178.12595</v>
      </c>
      <c r="F8" s="21" t="n">
        <f aca="false">F5*F7</f>
        <v>29920.3005751731</v>
      </c>
      <c r="G8" s="21" t="n">
        <f aca="false">G5*G7</f>
        <v>34852.1297023269</v>
      </c>
    </row>
    <row r="9" customFormat="false" ht="15" hidden="false" customHeight="false" outlineLevel="0" collapsed="false">
      <c r="A9" s="24" t="s">
        <v>214</v>
      </c>
      <c r="B9" s="20" t="n">
        <v>-4303.7</v>
      </c>
      <c r="C9" s="20" t="n">
        <v>-4698.8</v>
      </c>
      <c r="D9" s="20" t="n">
        <v>-2461.5</v>
      </c>
      <c r="E9" s="21" t="n">
        <f aca="false">-Assumptions!$B$49</f>
        <v>-4911.5</v>
      </c>
      <c r="F9" s="21" t="n">
        <f aca="false">-Assumptions!$B$50</f>
        <v>-5400</v>
      </c>
      <c r="G9" s="21" t="n">
        <f aca="false">-Assumptions!$B$51</f>
        <v>-5900</v>
      </c>
    </row>
    <row r="10" customFormat="false" ht="15" hidden="false" customHeight="false" outlineLevel="0" collapsed="false">
      <c r="A10" s="24" t="s">
        <v>215</v>
      </c>
      <c r="B10" s="20" t="n">
        <v>-1165.7</v>
      </c>
      <c r="C10" s="20" t="n">
        <v>-1257.8</v>
      </c>
      <c r="D10" s="20" t="n">
        <v>-605</v>
      </c>
      <c r="E10" s="21" t="n">
        <f aca="false">-Assumptions!$B$52</f>
        <v>-1425</v>
      </c>
      <c r="F10" s="21" t="n">
        <f aca="false">-Assumptions!$B$53</f>
        <v>-1550</v>
      </c>
      <c r="G10" s="21" t="n">
        <f aca="false">-Assumptions!$B$54</f>
        <v>-1650</v>
      </c>
    </row>
    <row r="11" customFormat="false" ht="15" hidden="false" customHeight="false" outlineLevel="0" collapsed="false">
      <c r="A11" s="5" t="s">
        <v>216</v>
      </c>
      <c r="B11" s="21" t="n">
        <f aca="false">B8+B9+B10</f>
        <v>9022.6</v>
      </c>
      <c r="C11" s="21" t="n">
        <f aca="false">C8+C9+C10</f>
        <v>11301.4</v>
      </c>
      <c r="D11" s="21" t="n">
        <f aca="false">D8+D9+D10</f>
        <v>6613.9</v>
      </c>
      <c r="E11" s="21" t="n">
        <f aca="false">E8+E9+E10</f>
        <v>17841.62595</v>
      </c>
      <c r="F11" s="21" t="n">
        <f aca="false">F8+F9+F10</f>
        <v>22970.3005751731</v>
      </c>
      <c r="G11" s="21" t="n">
        <f aca="false">G8+G9+G10</f>
        <v>27302.1297023269</v>
      </c>
    </row>
    <row r="12" customFormat="false" ht="15" hidden="false" customHeight="false" outlineLevel="0" collapsed="false">
      <c r="A12" s="24" t="s">
        <v>217</v>
      </c>
      <c r="B12" s="23" t="n">
        <f aca="false">B11/B5</f>
        <v>0.319238294725594</v>
      </c>
      <c r="C12" s="23" t="n">
        <f aca="false">C11/C5</f>
        <v>0.34595451720834</v>
      </c>
      <c r="D12" s="23" t="n">
        <f aca="false">D11/D5</f>
        <v>0.365542131384925</v>
      </c>
      <c r="E12" s="23" t="n">
        <f aca="false">E11/E5</f>
        <v>0.405858348690586</v>
      </c>
      <c r="F12" s="23" t="n">
        <f aca="false">F11/F5</f>
        <v>0.433759674050257</v>
      </c>
      <c r="G12" s="23" t="n">
        <f aca="false">G11/G5</f>
        <v>0.45043802811826</v>
      </c>
    </row>
    <row r="13" customFormat="false" ht="15" hidden="false" customHeight="false" outlineLevel="0" collapsed="false">
      <c r="A13" s="24" t="s">
        <v>218</v>
      </c>
      <c r="B13" s="20" t="n">
        <v>19.8</v>
      </c>
      <c r="C13" s="20" t="n">
        <v>104.7</v>
      </c>
      <c r="D13" s="20" t="n">
        <v>70.9</v>
      </c>
      <c r="E13" s="25" t="n">
        <f aca="false">Assumptions!$B$55</f>
        <v>150</v>
      </c>
      <c r="F13" s="25" t="n">
        <f aca="false">Assumptions!$B$56</f>
        <v>100</v>
      </c>
      <c r="G13" s="25" t="n">
        <f aca="false">Assumptions!$B$57</f>
        <v>100</v>
      </c>
    </row>
    <row r="14" customFormat="false" ht="15" hidden="false" customHeight="false" outlineLevel="0" collapsed="false">
      <c r="A14" s="24" t="s">
        <v>219</v>
      </c>
      <c r="B14" s="20" t="n">
        <v>-1680.6</v>
      </c>
      <c r="C14" s="20" t="n">
        <v>-2013.4</v>
      </c>
      <c r="D14" s="20" t="n">
        <v>-1156.2</v>
      </c>
      <c r="E14" s="21" t="n">
        <f aca="false">-(E11+E13)*Assumptions!$B$61</f>
        <v>-3058.5764115</v>
      </c>
      <c r="F14" s="21" t="n">
        <f aca="false">-(F11+F13)*Assumptions!$B$61</f>
        <v>-3921.95109777942</v>
      </c>
      <c r="G14" s="21" t="n">
        <f aca="false">-(G11+G13)*Assumptions!$B$61</f>
        <v>-4658.36204939558</v>
      </c>
    </row>
    <row r="15" customFormat="false" ht="15" hidden="false" customHeight="false" outlineLevel="0" collapsed="false">
      <c r="A15" s="24" t="s">
        <v>220</v>
      </c>
      <c r="B15" s="20" t="n">
        <v>209.8</v>
      </c>
      <c r="C15" s="20" t="n">
        <v>216.7</v>
      </c>
      <c r="D15" s="20" t="n">
        <v>145.7</v>
      </c>
      <c r="E15" s="25" t="n">
        <f aca="false">Assumptions!$B$58</f>
        <v>250</v>
      </c>
      <c r="F15" s="25" t="n">
        <f aca="false">Assumptions!$B$59</f>
        <v>250</v>
      </c>
      <c r="G15" s="25" t="n">
        <f aca="false">Assumptions!$B$60</f>
        <v>250</v>
      </c>
    </row>
    <row r="16" customFormat="false" ht="15" hidden="false" customHeight="false" outlineLevel="0" collapsed="false">
      <c r="A16" s="5" t="s">
        <v>221</v>
      </c>
      <c r="B16" s="21" t="n">
        <f aca="false">B11+B13+B14+B15</f>
        <v>7571.6</v>
      </c>
      <c r="C16" s="21" t="n">
        <f aca="false">C11+C13+C14+C15</f>
        <v>9609.4</v>
      </c>
      <c r="D16" s="21" t="n">
        <f aca="false">D11+D13+D14+D15</f>
        <v>5674.3</v>
      </c>
      <c r="E16" s="21" t="n">
        <f aca="false">E11+E13+E14+E15</f>
        <v>15183.0495385</v>
      </c>
      <c r="F16" s="21" t="n">
        <f aca="false">F11+F13+F14+F15</f>
        <v>19398.3494773937</v>
      </c>
      <c r="G16" s="21" t="n">
        <f aca="false">G11+G13+G14+G15</f>
        <v>22993.7676529314</v>
      </c>
    </row>
    <row r="17" customFormat="false" ht="15" hidden="false" customHeight="false" outlineLevel="0" collapsed="false">
      <c r="A17" s="24" t="s">
        <v>222</v>
      </c>
      <c r="B17" s="27" t="n">
        <v>393.6</v>
      </c>
      <c r="C17" s="27" t="n">
        <v>388.9</v>
      </c>
      <c r="D17" s="27" t="n">
        <v>385.3</v>
      </c>
      <c r="E17" s="28" t="n">
        <f aca="false">Assumptions!$B$62</f>
        <v>384.5</v>
      </c>
      <c r="F17" s="28" t="n">
        <f aca="false">Assumptions!$B$63</f>
        <v>382</v>
      </c>
      <c r="G17" s="28" t="n">
        <f aca="false">Assumptions!$B$64</f>
        <v>379.5</v>
      </c>
    </row>
    <row r="18" customFormat="false" ht="15" hidden="false" customHeight="false" outlineLevel="0" collapsed="false">
      <c r="A18" s="5" t="s">
        <v>223</v>
      </c>
      <c r="B18" s="29" t="n">
        <v>19.24</v>
      </c>
      <c r="C18" s="29" t="n">
        <v>24.71</v>
      </c>
      <c r="D18" s="29" t="n">
        <v>14.73</v>
      </c>
      <c r="E18" s="30" t="n">
        <f aca="false">E16/E17</f>
        <v>39.4877751326398</v>
      </c>
      <c r="F18" s="30" t="n">
        <f aca="false">F16/F17</f>
        <v>50.7810195743289</v>
      </c>
      <c r="G18" s="30" t="n">
        <f aca="false">G16/G17</f>
        <v>60.5896380841406</v>
      </c>
    </row>
    <row r="19" customFormat="false" ht="15" hidden="false" customHeight="false" outlineLevel="0" collapsed="false">
      <c r="A19" s="24" t="s">
        <v>224</v>
      </c>
      <c r="B19" s="23"/>
      <c r="C19" s="23" t="n">
        <f aca="false">C18/B18-1</f>
        <v>0.284303534303535</v>
      </c>
      <c r="D19" s="23"/>
      <c r="E19" s="23" t="n">
        <f aca="false">E18/C18-1</f>
        <v>0.598048366355314</v>
      </c>
      <c r="F19" s="23" t="n">
        <f aca="false">F18/E18-1</f>
        <v>0.285993434772028</v>
      </c>
      <c r="G19" s="23" t="n">
        <f aca="false">G18/F18-1</f>
        <v>0.19315521019531</v>
      </c>
    </row>
    <row r="20" customFormat="false" ht="15" hidden="false" customHeight="false" outlineLevel="0" collapsed="false">
      <c r="A20" s="24" t="s">
        <v>225</v>
      </c>
      <c r="B20" s="31" t="n">
        <f aca="false">Assumptions!$B$7/B18</f>
        <v>85.0519750519751</v>
      </c>
      <c r="C20" s="31" t="n">
        <f aca="false">Assumptions!$B$7/C18</f>
        <v>66.22420072845</v>
      </c>
      <c r="D20" s="32"/>
      <c r="E20" s="31" t="n">
        <f aca="false">Assumptions!$B$7/E18</f>
        <v>41.4406735883021</v>
      </c>
      <c r="F20" s="31" t="n">
        <f aca="false">Assumptions!$B$7/F18</f>
        <v>32.224638530638</v>
      </c>
      <c r="G20" s="31" t="n">
        <f aca="false">Assumptions!$B$7/G18</f>
        <v>27.0079183791713</v>
      </c>
    </row>
    <row r="21" customFormat="false" ht="15" hidden="false" customHeight="false" outlineLevel="0" collapsed="false">
      <c r="A21" s="24" t="s">
        <v>226</v>
      </c>
      <c r="B21" s="30"/>
      <c r="C21" s="30"/>
      <c r="D21" s="30"/>
      <c r="E21" s="33" t="n">
        <f aca="false">Assumptions!$B$17/Assumptions!$B$9</f>
        <v>38.9209335344751</v>
      </c>
      <c r="F21" s="33" t="n">
        <f aca="false">Assumptions!$B$18/Assumptions!$B$9</f>
        <v>51.7082261070193</v>
      </c>
      <c r="G21" s="30"/>
    </row>
    <row r="22" customFormat="false" ht="15" hidden="false" customHeight="false" outlineLevel="0" collapsed="false">
      <c r="A22" s="24" t="s">
        <v>227</v>
      </c>
      <c r="B22" s="23"/>
      <c r="C22" s="23"/>
      <c r="D22" s="23"/>
      <c r="E22" s="23" t="n">
        <f aca="false">E18/E21-1</f>
        <v>0.0145639260595483</v>
      </c>
      <c r="F22" s="23" t="n">
        <f aca="false">F18/F21-1</f>
        <v>-0.0179315092103781</v>
      </c>
      <c r="G22" s="23"/>
    </row>
    <row r="23" customFormat="false" ht="15" hidden="false" customHeight="false" outlineLevel="0" collapsed="false">
      <c r="A23" s="24" t="s">
        <v>228</v>
      </c>
      <c r="B23" s="32"/>
      <c r="C23" s="32"/>
      <c r="D23" s="32"/>
      <c r="E23" s="31" t="n">
        <f aca="false">Assumptions!$B$7/E21</f>
        <v>42.0442124943001</v>
      </c>
      <c r="F23" s="31" t="n">
        <f aca="false">Assumptions!$B$7/F21</f>
        <v>31.6468021280247</v>
      </c>
      <c r="G23" s="32"/>
    </row>
    <row r="24" customFormat="false" ht="15" hidden="false" customHeight="false" outlineLevel="0" collapsed="false">
      <c r="A24" s="24" t="s">
        <v>229</v>
      </c>
      <c r="B24" s="20" t="n">
        <v>9083.1</v>
      </c>
      <c r="C24" s="20" t="n">
        <v>11027.3</v>
      </c>
      <c r="D24" s="20" t="n">
        <v>-1290.9</v>
      </c>
      <c r="E24" s="21"/>
      <c r="F24" s="21"/>
      <c r="G24" s="21"/>
    </row>
    <row r="26" customFormat="false" ht="15" hidden="false" customHeight="false" outlineLevel="0" collapsed="false">
      <c r="A26" s="12" t="s">
        <v>230</v>
      </c>
    </row>
    <row r="27" customFormat="false" ht="15" hidden="false" customHeight="false" outlineLevel="0" collapsed="false">
      <c r="A27" s="12" t="s">
        <v>231</v>
      </c>
    </row>
    <row r="28" customFormat="false" ht="15" hidden="false" customHeight="false" outlineLevel="0" collapsed="false">
      <c r="A28" s="12" t="s">
        <v>232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0"/>
    <col collapsed="false" customWidth="true" hidden="false" outlineLevel="0" max="19" min="2" style="0" width="12"/>
  </cols>
  <sheetData>
    <row r="1" customFormat="false" ht="15" hidden="false" customHeight="false" outlineLevel="0" collapsed="false">
      <c r="A1" s="1" t="s">
        <v>233</v>
      </c>
    </row>
    <row r="2" customFormat="false" ht="15" hidden="false" customHeight="false" outlineLevel="0" collapsed="false">
      <c r="A2" s="2" t="s">
        <v>1</v>
      </c>
    </row>
    <row r="4" customFormat="false" ht="23.85" hidden="false" customHeight="false" outlineLevel="0" collapsed="false">
      <c r="A4" s="3" t="s">
        <v>234</v>
      </c>
      <c r="B4" s="4" t="s">
        <v>235</v>
      </c>
      <c r="C4" s="4" t="s">
        <v>236</v>
      </c>
      <c r="D4" s="4" t="s">
        <v>237</v>
      </c>
      <c r="E4" s="4" t="s">
        <v>238</v>
      </c>
      <c r="F4" s="4" t="s">
        <v>239</v>
      </c>
      <c r="G4" s="4" t="s">
        <v>240</v>
      </c>
      <c r="H4" s="4" t="s">
        <v>241</v>
      </c>
      <c r="I4" s="4" t="s">
        <v>242</v>
      </c>
      <c r="J4" s="4" t="s">
        <v>243</v>
      </c>
      <c r="K4" s="4" t="s">
        <v>244</v>
      </c>
      <c r="L4" s="4" t="s">
        <v>245</v>
      </c>
      <c r="M4" s="4" t="s">
        <v>246</v>
      </c>
      <c r="N4" s="4" t="s">
        <v>247</v>
      </c>
      <c r="O4" s="4" t="s">
        <v>248</v>
      </c>
      <c r="P4" s="4" t="s">
        <v>249</v>
      </c>
      <c r="Q4" s="4" t="s">
        <v>250</v>
      </c>
      <c r="R4" s="4" t="s">
        <v>251</v>
      </c>
      <c r="S4" s="4" t="s">
        <v>252</v>
      </c>
    </row>
    <row r="5" customFormat="false" ht="15" hidden="false" customHeight="false" outlineLevel="0" collapsed="false">
      <c r="A5" s="5" t="s">
        <v>253</v>
      </c>
      <c r="B5" s="34" t="n">
        <v>85</v>
      </c>
      <c r="C5" s="17" t="n">
        <v>0</v>
      </c>
      <c r="D5" s="35" t="n">
        <v>4</v>
      </c>
      <c r="E5" s="17" t="n">
        <v>-0.1</v>
      </c>
      <c r="F5" s="17" t="n">
        <v>0.03</v>
      </c>
      <c r="G5" s="17" t="n">
        <v>0.55</v>
      </c>
      <c r="H5" s="19" t="n">
        <v>22</v>
      </c>
      <c r="I5" s="36" t="n">
        <f aca="false">B5*Segments!$F$6*(1+C5)</f>
        <v>22183.3882038462</v>
      </c>
      <c r="J5" s="36" t="n">
        <f aca="false">D5*Assumptions!$B$38</f>
        <v>1200</v>
      </c>
      <c r="K5" s="36" t="n">
        <f aca="false">Segments!$F$12*(1+E5)</f>
        <v>15638.994</v>
      </c>
      <c r="L5" s="36" t="n">
        <f aca="false">Segments!$F$14*(1+F5)</f>
        <v>12253.12308</v>
      </c>
      <c r="M5" s="36" t="n">
        <f aca="false">I5+J5+K5+L5</f>
        <v>51275.5052838462</v>
      </c>
      <c r="N5" s="36" t="n">
        <f aca="false">M5*G5</f>
        <v>28201.5279061154</v>
      </c>
      <c r="O5" s="36" t="n">
        <f aca="false">N5-Assumptions!$B$51-Assumptions!$B$54</f>
        <v>20651.5279061154</v>
      </c>
      <c r="P5" s="36" t="n">
        <f aca="false">(O5+Assumptions!$B$57)*(1-Assumptions!$B$61)+Assumptions!$B$60</f>
        <v>17473.7681620758</v>
      </c>
      <c r="Q5" s="37" t="n">
        <f aca="false">P5/Assumptions!$B$64</f>
        <v>46.0441848803051</v>
      </c>
      <c r="R5" s="38" t="n">
        <f aca="false">Q5*H5</f>
        <v>1012.97206736671</v>
      </c>
      <c r="S5" s="39" t="n">
        <f aca="false">R5/Assumptions!$B$7-1</f>
        <v>-0.38097527049211</v>
      </c>
    </row>
    <row r="6" customFormat="false" ht="15" hidden="false" customHeight="false" outlineLevel="0" collapsed="false">
      <c r="A6" s="5" t="s">
        <v>254</v>
      </c>
      <c r="B6" s="40" t="n">
        <f aca="false">Assumptions!$B$39</f>
        <v>100</v>
      </c>
      <c r="C6" s="41" t="n">
        <f aca="false">Assumptions!$B$41</f>
        <v>0.03</v>
      </c>
      <c r="D6" s="40" t="n">
        <f aca="false">Assumptions!$B$37</f>
        <v>8</v>
      </c>
      <c r="E6" s="41" t="n">
        <f aca="false">Assumptions!$B$43</f>
        <v>0.05</v>
      </c>
      <c r="F6" s="41" t="n">
        <f aca="false">Assumptions!$B$45</f>
        <v>0.1</v>
      </c>
      <c r="G6" s="41" t="n">
        <f aca="false">Assumptions!$B$48</f>
        <v>0.575</v>
      </c>
      <c r="H6" s="42" t="n">
        <f aca="false">Assumptions!$B$65</f>
        <v>28</v>
      </c>
      <c r="I6" s="36" t="n">
        <f aca="false">B6*Segments!$F$6*(1+C6)</f>
        <v>26881.0468823077</v>
      </c>
      <c r="J6" s="36" t="n">
        <f aca="false">D6*Assumptions!$B$38</f>
        <v>2400</v>
      </c>
      <c r="K6" s="36" t="n">
        <f aca="false">Segments!$F$12*(1+E6)</f>
        <v>18245.493</v>
      </c>
      <c r="L6" s="36" t="n">
        <f aca="false">Segments!$F$14*(1+F6)</f>
        <v>13085.8596</v>
      </c>
      <c r="M6" s="36" t="n">
        <f aca="false">I6+J6+K6+L6</f>
        <v>60612.3994823077</v>
      </c>
      <c r="N6" s="36" t="n">
        <f aca="false">M6*G6</f>
        <v>34852.1297023269</v>
      </c>
      <c r="O6" s="36" t="n">
        <f aca="false">N6-Assumptions!$B$51-Assumptions!$B$54</f>
        <v>27302.1297023269</v>
      </c>
      <c r="P6" s="36" t="n">
        <f aca="false">(O6+Assumptions!$B$57)*(1-Assumptions!$B$61)+Assumptions!$B$60</f>
        <v>22993.7676529313</v>
      </c>
      <c r="Q6" s="37" t="n">
        <f aca="false">P6/Assumptions!$B$64</f>
        <v>60.5896380841406</v>
      </c>
      <c r="R6" s="38" t="n">
        <f aca="false">Q6*H6</f>
        <v>1696.50986635594</v>
      </c>
      <c r="S6" s="39" t="n">
        <f aca="false">R6/Assumptions!$B$7-1</f>
        <v>0.0367329909288288</v>
      </c>
    </row>
    <row r="7" customFormat="false" ht="15" hidden="false" customHeight="false" outlineLevel="0" collapsed="false">
      <c r="A7" s="5" t="s">
        <v>255</v>
      </c>
      <c r="B7" s="34" t="n">
        <v>110</v>
      </c>
      <c r="C7" s="17" t="n">
        <v>0.05</v>
      </c>
      <c r="D7" s="35" t="n">
        <v>10</v>
      </c>
      <c r="E7" s="17" t="n">
        <v>0.1</v>
      </c>
      <c r="F7" s="17" t="n">
        <v>0.12</v>
      </c>
      <c r="G7" s="17" t="n">
        <v>0.59</v>
      </c>
      <c r="H7" s="19" t="n">
        <v>32</v>
      </c>
      <c r="I7" s="36" t="n">
        <f aca="false">B7*Segments!$F$6*(1+C7)</f>
        <v>30143.3098534615</v>
      </c>
      <c r="J7" s="36" t="n">
        <f aca="false">D7*Assumptions!$B$38</f>
        <v>3000</v>
      </c>
      <c r="K7" s="36" t="n">
        <f aca="false">Segments!$F$12*(1+E7)</f>
        <v>19114.326</v>
      </c>
      <c r="L7" s="36" t="n">
        <f aca="false">Segments!$F$14*(1+F7)</f>
        <v>13323.78432</v>
      </c>
      <c r="M7" s="36" t="n">
        <f aca="false">I7+J7+K7+L7</f>
        <v>65581.4201734615</v>
      </c>
      <c r="N7" s="36" t="n">
        <f aca="false">M7*G7</f>
        <v>38693.0379023423</v>
      </c>
      <c r="O7" s="36" t="n">
        <f aca="false">N7-Assumptions!$B$51-Assumptions!$B$54</f>
        <v>31143.0379023423</v>
      </c>
      <c r="P7" s="36" t="n">
        <f aca="false">(O7+Assumptions!$B$57)*(1-Assumptions!$B$61)+Assumptions!$B$60</f>
        <v>26181.7214589441</v>
      </c>
      <c r="Q7" s="37" t="n">
        <f aca="false">P7/Assumptions!$B$64</f>
        <v>68.9900433700767</v>
      </c>
      <c r="R7" s="38" t="n">
        <f aca="false">Q7*H7</f>
        <v>2207.68138784245</v>
      </c>
      <c r="S7" s="39" t="n">
        <f aca="false">R7/Assumptions!$B$7-1</f>
        <v>0.349108645711595</v>
      </c>
    </row>
    <row r="8" customFormat="false" ht="15" hidden="false" customHeight="false" outlineLevel="0" collapsed="false">
      <c r="A8" s="5" t="s">
        <v>256</v>
      </c>
      <c r="B8" s="34" t="n">
        <v>93.65</v>
      </c>
      <c r="C8" s="17" t="n">
        <v>0.03</v>
      </c>
      <c r="D8" s="35" t="n">
        <v>8</v>
      </c>
      <c r="E8" s="17" t="n">
        <v>0.05</v>
      </c>
      <c r="F8" s="17" t="n">
        <v>0.1</v>
      </c>
      <c r="G8" s="17" t="n">
        <v>0.575</v>
      </c>
      <c r="H8" s="19" t="n">
        <v>28</v>
      </c>
      <c r="I8" s="36" t="n">
        <f aca="false">B8*Segments!$F$6*(1+C8)</f>
        <v>25174.1004052812</v>
      </c>
      <c r="J8" s="36" t="n">
        <f aca="false">D8*Assumptions!$B$38</f>
        <v>2400</v>
      </c>
      <c r="K8" s="36" t="n">
        <f aca="false">Segments!$F$12*(1+E8)</f>
        <v>18245.493</v>
      </c>
      <c r="L8" s="36" t="n">
        <f aca="false">Segments!$F$14*(1+F8)</f>
        <v>13085.8596</v>
      </c>
      <c r="M8" s="36" t="n">
        <f aca="false">I8+J8+K8+L8</f>
        <v>58905.4530052812</v>
      </c>
      <c r="N8" s="36" t="n">
        <f aca="false">M8*G8</f>
        <v>33870.6354780367</v>
      </c>
      <c r="O8" s="36" t="n">
        <f aca="false">N8-Assumptions!$B$51-Assumptions!$B$54</f>
        <v>26320.6354780367</v>
      </c>
      <c r="P8" s="36" t="n">
        <f aca="false">(O8+Assumptions!$B$57)*(1-Assumptions!$B$61)+Assumptions!$B$60</f>
        <v>22179.1274467704</v>
      </c>
      <c r="Q8" s="37" t="n">
        <f aca="false">P8/Assumptions!$B$64</f>
        <v>58.4430235751526</v>
      </c>
      <c r="R8" s="38" t="n">
        <f aca="false">Q8*H8</f>
        <v>1636.40466010427</v>
      </c>
      <c r="S8" s="39" t="n">
        <f aca="false">R8/Assumptions!$B$7-1</f>
        <v>2.84777821679683E-006</v>
      </c>
    </row>
    <row r="10" customFormat="false" ht="15" hidden="false" customHeight="false" outlineLevel="0" collapsed="false">
      <c r="B10" s="5" t="s">
        <v>253</v>
      </c>
      <c r="C10" s="5" t="s">
        <v>254</v>
      </c>
      <c r="D10" s="5" t="s">
        <v>255</v>
      </c>
    </row>
    <row r="11" customFormat="false" ht="15" hidden="false" customHeight="false" outlineLevel="0" collapsed="false">
      <c r="A11" s="5" t="s">
        <v>257</v>
      </c>
      <c r="B11" s="43" t="n">
        <v>0.25</v>
      </c>
      <c r="C11" s="43" t="n">
        <v>0.5</v>
      </c>
      <c r="D11" s="43" t="n">
        <v>0.25</v>
      </c>
      <c r="E11" s="44" t="n">
        <f aca="false">SUM(B11:D11)</f>
        <v>1</v>
      </c>
      <c r="F11" s="12" t="s">
        <v>258</v>
      </c>
    </row>
    <row r="13" customFormat="false" ht="15" hidden="false" customHeight="false" outlineLevel="0" collapsed="false">
      <c r="A13" s="5" t="s">
        <v>17</v>
      </c>
      <c r="R13" s="45" t="n">
        <f aca="false">B11*R5+C11*R6+D11*R7</f>
        <v>1653.41829698026</v>
      </c>
      <c r="S13" s="39" t="n">
        <f aca="false">R13/Assumptions!$B$7-1</f>
        <v>0.0103998392692859</v>
      </c>
    </row>
    <row r="15" customFormat="false" ht="15" hidden="false" customHeight="false" outlineLevel="0" collapsed="false">
      <c r="A15" s="12" t="s">
        <v>259</v>
      </c>
    </row>
    <row r="16" customFormat="false" ht="15" hidden="false" customHeight="false" outlineLevel="0" collapsed="false">
      <c r="A16" s="12" t="s">
        <v>260</v>
      </c>
    </row>
    <row r="17" customFormat="false" ht="15" hidden="false" customHeight="false" outlineLevel="0" collapsed="false">
      <c r="A17" s="12" t="s">
        <v>261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6" min="2" style="0" width="13"/>
  </cols>
  <sheetData>
    <row r="1" customFormat="false" ht="15" hidden="false" customHeight="false" outlineLevel="0" collapsed="false">
      <c r="A1" s="1" t="s">
        <v>262</v>
      </c>
    </row>
    <row r="2" customFormat="false" ht="15" hidden="false" customHeight="false" outlineLevel="0" collapsed="false">
      <c r="A2" s="2" t="s">
        <v>1</v>
      </c>
    </row>
    <row r="4" customFormat="false" ht="15" hidden="false" customHeight="false" outlineLevel="0" collapsed="false">
      <c r="A4" s="3"/>
      <c r="B4" s="4" t="s">
        <v>263</v>
      </c>
      <c r="C4" s="4" t="s">
        <v>264</v>
      </c>
      <c r="D4" s="4" t="s">
        <v>265</v>
      </c>
      <c r="E4" s="4" t="s">
        <v>266</v>
      </c>
      <c r="F4" s="4" t="s">
        <v>267</v>
      </c>
    </row>
    <row r="5" customFormat="false" ht="15" hidden="false" customHeight="false" outlineLevel="0" collapsed="false">
      <c r="A5" s="0" t="s">
        <v>268</v>
      </c>
      <c r="C5" s="41" t="n">
        <f aca="false">Assumptions!$B$69</f>
        <v>0.1</v>
      </c>
      <c r="D5" s="41" t="n">
        <f aca="false">Assumptions!$B$70</f>
        <v>0.08</v>
      </c>
      <c r="E5" s="41" t="n">
        <f aca="false">Assumptions!$B$71</f>
        <v>0.06</v>
      </c>
      <c r="F5" s="41" t="n">
        <f aca="false">Assumptions!$B$72</f>
        <v>0.05</v>
      </c>
    </row>
    <row r="6" customFormat="false" ht="15" hidden="false" customHeight="false" outlineLevel="0" collapsed="false">
      <c r="A6" s="0" t="s">
        <v>221</v>
      </c>
      <c r="B6" s="25" t="n">
        <f aca="false">Financials!G16</f>
        <v>22993.7676529314</v>
      </c>
      <c r="C6" s="21" t="n">
        <f aca="false">B6*(1+C5)</f>
        <v>25293.1444182245</v>
      </c>
      <c r="D6" s="21" t="n">
        <f aca="false">C6*(1+D5)</f>
        <v>27316.5959716825</v>
      </c>
      <c r="E6" s="21" t="n">
        <f aca="false">D6*(1+E5)</f>
        <v>28955.5917299834</v>
      </c>
      <c r="F6" s="21" t="n">
        <f aca="false">E6*(1+F5)</f>
        <v>30403.3713164826</v>
      </c>
    </row>
    <row r="7" customFormat="false" ht="15" hidden="false" customHeight="false" outlineLevel="0" collapsed="false">
      <c r="A7" s="0" t="s">
        <v>269</v>
      </c>
      <c r="B7" s="21" t="n">
        <f aca="false">B6*Assumptions!$B$67</f>
        <v>21844.0792702848</v>
      </c>
      <c r="C7" s="21" t="n">
        <f aca="false">C6*Assumptions!$B$67</f>
        <v>24028.4871973133</v>
      </c>
      <c r="D7" s="21" t="n">
        <f aca="false">D6*Assumptions!$B$67</f>
        <v>25950.7661730983</v>
      </c>
      <c r="E7" s="21" t="n">
        <f aca="false">E6*Assumptions!$B$67</f>
        <v>27507.8121434842</v>
      </c>
      <c r="F7" s="21" t="n">
        <f aca="false">F6*Assumptions!$B$67</f>
        <v>28883.2027506584</v>
      </c>
    </row>
    <row r="8" customFormat="false" ht="15" hidden="false" customHeight="false" outlineLevel="0" collapsed="false">
      <c r="A8" s="0" t="s">
        <v>270</v>
      </c>
      <c r="B8" s="46" t="n">
        <f aca="false">1/(1+Assumptions!$B$66)^1</f>
        <v>0.921658986175115</v>
      </c>
      <c r="C8" s="46" t="n">
        <f aca="false">1/(1+Assumptions!$B$66)^2</f>
        <v>0.849455286797341</v>
      </c>
      <c r="D8" s="46" t="n">
        <f aca="false">1/(1+Assumptions!$B$66)^3</f>
        <v>0.782908098430729</v>
      </c>
      <c r="E8" s="46" t="n">
        <f aca="false">1/(1+Assumptions!$B$66)^4</f>
        <v>0.721574284267953</v>
      </c>
      <c r="F8" s="46" t="n">
        <f aca="false">1/(1+Assumptions!$B$66)^5</f>
        <v>0.665045423288436</v>
      </c>
    </row>
    <row r="9" customFormat="false" ht="15" hidden="false" customHeight="false" outlineLevel="0" collapsed="false">
      <c r="A9" s="0" t="s">
        <v>271</v>
      </c>
      <c r="B9" s="21" t="n">
        <f aca="false">B7*B8</f>
        <v>20132.7919541795</v>
      </c>
      <c r="C9" s="21" t="n">
        <f aca="false">C7*C8</f>
        <v>20411.1254835</v>
      </c>
      <c r="D9" s="21" t="n">
        <f aca="false">D7*D8</f>
        <v>20317.0649974009</v>
      </c>
      <c r="E9" s="21" t="n">
        <f aca="false">E7*E8</f>
        <v>19848.929859212</v>
      </c>
      <c r="F9" s="21" t="n">
        <f aca="false">F7*F8</f>
        <v>19208.6417992374</v>
      </c>
    </row>
    <row r="11" customFormat="false" ht="15" hidden="false" customHeight="false" outlineLevel="0" collapsed="false">
      <c r="A11" s="0" t="s">
        <v>272</v>
      </c>
      <c r="B11" s="21" t="n">
        <f aca="false">SUM(B9:F9)</f>
        <v>99918.5540935297</v>
      </c>
    </row>
    <row r="12" customFormat="false" ht="15" hidden="false" customHeight="false" outlineLevel="0" collapsed="false">
      <c r="A12" s="0" t="s">
        <v>273</v>
      </c>
      <c r="B12" s="21" t="n">
        <f aca="false">F7*(1+Assumptions!$B$73)/(Assumptions!$B$66-Assumptions!$B$73)</f>
        <v>540903.615148694</v>
      </c>
    </row>
    <row r="13" customFormat="false" ht="15" hidden="false" customHeight="false" outlineLevel="0" collapsed="false">
      <c r="A13" s="0" t="s">
        <v>274</v>
      </c>
      <c r="B13" s="21" t="n">
        <f aca="false">B12*F8</f>
        <v>359725.473694809</v>
      </c>
    </row>
    <row r="14" customFormat="false" ht="15" hidden="false" customHeight="false" outlineLevel="0" collapsed="false">
      <c r="A14" s="0" t="s">
        <v>275</v>
      </c>
      <c r="B14" s="21" t="n">
        <f aca="false">B11+B13</f>
        <v>459644.027788339</v>
      </c>
    </row>
    <row r="15" customFormat="false" ht="15" hidden="false" customHeight="false" outlineLevel="0" collapsed="false">
      <c r="A15" s="0" t="s">
        <v>276</v>
      </c>
      <c r="B15" s="47" t="n">
        <f aca="false">B14/Assumptions!$B$64</f>
        <v>1211.18320892843</v>
      </c>
    </row>
    <row r="16" customFormat="false" ht="15" hidden="false" customHeight="false" outlineLevel="0" collapsed="false">
      <c r="A16" s="0" t="s">
        <v>277</v>
      </c>
      <c r="B16" s="47" t="n">
        <f aca="false">(Assumptions!$B$21-Assumptions!$B$22)/Assumptions!$B$15</f>
        <v>14.5732882061963</v>
      </c>
    </row>
    <row r="17" customFormat="false" ht="15" hidden="false" customHeight="false" outlineLevel="0" collapsed="false">
      <c r="A17" s="0" t="s">
        <v>278</v>
      </c>
      <c r="B17" s="48" t="n">
        <f aca="false">B15+B16</f>
        <v>1225.75649713462</v>
      </c>
    </row>
    <row r="18" customFormat="false" ht="15" hidden="false" customHeight="false" outlineLevel="0" collapsed="false">
      <c r="A18" s="0" t="s">
        <v>279</v>
      </c>
      <c r="B18" s="23" t="n">
        <f aca="false">B17/Assumptions!$B$7-1</f>
        <v>-0.250943230790378</v>
      </c>
    </row>
    <row r="19" customFormat="false" ht="15" hidden="false" customHeight="false" outlineLevel="0" collapsed="false">
      <c r="A19" s="0" t="s">
        <v>280</v>
      </c>
      <c r="B19" s="32" t="n">
        <f aca="false">B17/Financials!G18</f>
        <v>20.2304640841792</v>
      </c>
    </row>
    <row r="21" customFormat="false" ht="15" hidden="false" customHeight="false" outlineLevel="0" collapsed="false">
      <c r="A21" s="0" t="s">
        <v>281</v>
      </c>
      <c r="B21" s="22" t="n">
        <v>0.1638</v>
      </c>
    </row>
    <row r="22" customFormat="false" ht="15" hidden="false" customHeight="false" outlineLevel="0" collapsed="false">
      <c r="A22" s="0" t="s">
        <v>282</v>
      </c>
      <c r="B22" s="47" t="n">
        <f aca="false">((B6*Assumptions!$B$67/(1+Assumptions!$B$66))+B6*(1+B21)*Assumptions!$B$67/(1+Assumptions!$B$66)^2+B6*(1+B21)^2*Assumptions!$B$67/(1+Assumptions!$B$66)^3+B6*(1+B21)^3*Assumptions!$B$67/(1+Assumptions!$B$66)^4+B6*(1+B21)^4*Assumptions!$B$67/(1+Assumptions!$B$66)^5+B6*(1+B21)^4*Assumptions!$B$67*(1+Assumptions!$B$73)/(Assumptions!$B$66-Assumptions!$B$73)/(1+Assumptions!$B$66)^5)/Assumptions!$B$64+B16</f>
        <v>1636.36527446978</v>
      </c>
    </row>
    <row r="24" customFormat="false" ht="15" hidden="false" customHeight="false" outlineLevel="0" collapsed="false">
      <c r="A24" s="0" t="s">
        <v>283</v>
      </c>
      <c r="B24" s="47" t="n">
        <f aca="false">B14*Assumptions!$B$68/Assumptions!$B$67/Assumptions!$B$64+B16</f>
        <v>1480.7424358564</v>
      </c>
    </row>
    <row r="25" customFormat="false" ht="15" hidden="false" customHeight="false" outlineLevel="0" collapsed="false">
      <c r="A25" s="0" t="s">
        <v>279</v>
      </c>
      <c r="B25" s="23" t="n">
        <f aca="false">B24/Assumptions!$B$7-1</f>
        <v>-0.0951219531554639</v>
      </c>
    </row>
    <row r="26" customFormat="false" ht="15" hidden="false" customHeight="false" outlineLevel="0" collapsed="false">
      <c r="A26" s="0" t="s">
        <v>284</v>
      </c>
      <c r="B26" s="22" t="n">
        <v>0.104</v>
      </c>
    </row>
    <row r="27" customFormat="false" ht="15" hidden="false" customHeight="false" outlineLevel="0" collapsed="false">
      <c r="A27" s="0" t="s">
        <v>282</v>
      </c>
      <c r="B27" s="47" t="n">
        <f aca="false">((B6*Assumptions!$B$68/(1+Assumptions!$B$66))+B6*(1+B26)*Assumptions!$B$68/(1+Assumptions!$B$66)^2+B6*(1+B26)^2*Assumptions!$B$68/(1+Assumptions!$B$66)^3+B6*(1+B26)^3*Assumptions!$B$68/(1+Assumptions!$B$66)^4+B6*(1+B26)^4*Assumptions!$B$68/(1+Assumptions!$B$66)^5+B6*(1+B26)^4*Assumptions!$B$68*(1+Assumptions!$B$73)/(Assumptions!$B$66-Assumptions!$B$73)/(1+Assumptions!$B$66)^5)/Assumptions!$B$64+B16</f>
        <v>1636.24972185901</v>
      </c>
    </row>
    <row r="29" customFormat="false" ht="15" hidden="false" customHeight="false" outlineLevel="0" collapsed="false">
      <c r="A29" s="12" t="s">
        <v>285</v>
      </c>
    </row>
    <row r="30" customFormat="false" ht="15" hidden="false" customHeight="false" outlineLevel="0" collapsed="false">
      <c r="A30" s="12" t="s">
        <v>286</v>
      </c>
    </row>
    <row r="31" customFormat="false" ht="15" hidden="false" customHeight="false" outlineLevel="0" collapsed="false">
      <c r="A31" s="12" t="s">
        <v>287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72"/>
    <col collapsed="false" customWidth="true" hidden="false" outlineLevel="0" max="2" min="2" style="0" width="16"/>
    <col collapsed="false" customWidth="true" hidden="false" outlineLevel="0" max="3" min="3" style="0" width="70"/>
  </cols>
  <sheetData>
    <row r="1" customFormat="false" ht="15" hidden="false" customHeight="false" outlineLevel="0" collapsed="false">
      <c r="A1" s="1" t="s">
        <v>288</v>
      </c>
    </row>
    <row r="2" customFormat="false" ht="15" hidden="false" customHeight="false" outlineLevel="0" collapsed="false">
      <c r="A2" s="2" t="s">
        <v>1</v>
      </c>
    </row>
    <row r="4" customFormat="false" ht="15" hidden="false" customHeight="false" outlineLevel="0" collapsed="false">
      <c r="A4" s="3" t="s">
        <v>289</v>
      </c>
      <c r="B4" s="4" t="s">
        <v>3</v>
      </c>
      <c r="C4" s="4" t="s">
        <v>290</v>
      </c>
    </row>
    <row r="5" customFormat="false" ht="15" hidden="false" customHeight="false" outlineLevel="0" collapsed="false">
      <c r="A5" s="5" t="s">
        <v>14</v>
      </c>
      <c r="B5" s="45" t="n">
        <f aca="false">Scenarios!R6</f>
        <v>1696.50986635594</v>
      </c>
      <c r="C5" s="7" t="s">
        <v>15</v>
      </c>
    </row>
    <row r="6" customFormat="false" ht="15" hidden="false" customHeight="false" outlineLevel="0" collapsed="false">
      <c r="A6" s="0" t="s">
        <v>17</v>
      </c>
      <c r="B6" s="38" t="n">
        <f aca="false">Scenarios!R13</f>
        <v>1653.41829698026</v>
      </c>
      <c r="C6" s="7" t="s">
        <v>291</v>
      </c>
    </row>
    <row r="7" customFormat="false" ht="15" hidden="false" customHeight="false" outlineLevel="0" collapsed="false">
      <c r="A7" s="0" t="s">
        <v>12</v>
      </c>
      <c r="B7" s="38" t="n">
        <f aca="false">Assumptions!$B$7</f>
        <v>1636.4</v>
      </c>
      <c r="C7" s="7" t="s">
        <v>13</v>
      </c>
    </row>
    <row r="8" customFormat="false" ht="15" hidden="false" customHeight="false" outlineLevel="0" collapsed="false">
      <c r="A8" s="0" t="s">
        <v>16</v>
      </c>
      <c r="B8" s="39" t="n">
        <f aca="false">B5/B7-1</f>
        <v>0.0367329909288288</v>
      </c>
      <c r="C8" s="7"/>
    </row>
    <row r="9" customFormat="false" ht="15" hidden="false" customHeight="false" outlineLevel="0" collapsed="false">
      <c r="A9" s="0" t="s">
        <v>292</v>
      </c>
      <c r="B9" s="0" t="str">
        <f aca="false">IF(B8&gt;=0.15,"LONG",IF(B8&lt;=-0.25,"SHORT","NO CALL"))</f>
        <v>NO CALL</v>
      </c>
      <c r="C9" s="7" t="s">
        <v>293</v>
      </c>
    </row>
    <row r="10" customFormat="false" ht="15" hidden="false" customHeight="false" outlineLevel="0" collapsed="false">
      <c r="A10" s="5" t="s">
        <v>294</v>
      </c>
      <c r="B10" s="49" t="s">
        <v>295</v>
      </c>
      <c r="C10" s="7" t="s">
        <v>6</v>
      </c>
    </row>
    <row r="11" customFormat="false" ht="15" hidden="false" customHeight="false" outlineLevel="0" collapsed="false">
      <c r="A11" s="0" t="s">
        <v>7</v>
      </c>
      <c r="B11" s="50" t="s">
        <v>296</v>
      </c>
      <c r="C11" s="7" t="s">
        <v>297</v>
      </c>
    </row>
    <row r="12" customFormat="false" ht="15" hidden="false" customHeight="false" outlineLevel="0" collapsed="false">
      <c r="A12" s="0" t="s">
        <v>298</v>
      </c>
      <c r="B12" s="38" t="n">
        <f aca="false">B5/1.15</f>
        <v>1475.22597074429</v>
      </c>
      <c r="C12" s="7"/>
    </row>
    <row r="13" customFormat="false" ht="15" hidden="false" customHeight="false" outlineLevel="0" collapsed="false">
      <c r="A13" s="0" t="s">
        <v>299</v>
      </c>
      <c r="B13" s="38" t="n">
        <f aca="false">B5/0.75</f>
        <v>2262.01315514125</v>
      </c>
      <c r="C13" s="7"/>
    </row>
    <row r="14" customFormat="false" ht="15" hidden="false" customHeight="false" outlineLevel="0" collapsed="false">
      <c r="A14" s="0" t="s">
        <v>300</v>
      </c>
      <c r="B14" s="37" t="n">
        <f aca="false">Assumptions!$B$7/Assumptions!$B$65</f>
        <v>58.4428571428571</v>
      </c>
      <c r="C14" s="7"/>
    </row>
    <row r="15" customFormat="false" ht="15" hidden="false" customHeight="false" outlineLevel="0" collapsed="false">
      <c r="A15" s="0" t="s">
        <v>301</v>
      </c>
      <c r="B15" s="51" t="n">
        <f aca="false">Scenarios!B8</f>
        <v>93.65</v>
      </c>
      <c r="C15" s="7" t="s">
        <v>302</v>
      </c>
    </row>
    <row r="16" customFormat="false" ht="15" hidden="false" customHeight="false" outlineLevel="0" collapsed="false">
      <c r="A16" s="0" t="s">
        <v>303</v>
      </c>
      <c r="B16" s="52" t="n">
        <f aca="false">Assumptions!$B$7*Assumptions!$B$15/1000</f>
        <v>628.54124</v>
      </c>
      <c r="C16" s="7"/>
    </row>
    <row r="17" customFormat="false" ht="15" hidden="false" customHeight="false" outlineLevel="0" collapsed="false">
      <c r="A17" s="0" t="s">
        <v>304</v>
      </c>
      <c r="B17" s="52" t="n">
        <f aca="false">(Assumptions!$B$21-Assumptions!$B$22)/1000</f>
        <v>5.5976</v>
      </c>
      <c r="C17" s="7" t="s">
        <v>305</v>
      </c>
    </row>
    <row r="18" customFormat="false" ht="15" hidden="false" customHeight="false" outlineLevel="0" collapsed="false">
      <c r="A18" s="0" t="s">
        <v>306</v>
      </c>
      <c r="B18" s="52" t="n">
        <f aca="false">B16-B17</f>
        <v>622.94364</v>
      </c>
      <c r="C18" s="7"/>
    </row>
    <row r="19" customFormat="false" ht="15" hidden="false" customHeight="false" outlineLevel="0" collapsed="false">
      <c r="A19" s="0" t="s">
        <v>307</v>
      </c>
      <c r="B19" s="53" t="n">
        <f aca="false">B18*1000/Financials!F11</f>
        <v>27.1195249692681</v>
      </c>
      <c r="C19" s="7"/>
    </row>
    <row r="20" customFormat="false" ht="15" hidden="false" customHeight="false" outlineLevel="0" collapsed="false">
      <c r="A20" s="0" t="s">
        <v>308</v>
      </c>
      <c r="B20" s="53" t="n">
        <f aca="false">(B5*Assumptions!$B$15/1000-B17)*1000/Financials!G11</f>
        <v>23.6623240278671</v>
      </c>
      <c r="C20" s="7"/>
    </row>
    <row r="21" customFormat="false" ht="15" hidden="false" customHeight="false" outlineLevel="0" collapsed="false">
      <c r="A21" s="0" t="s">
        <v>309</v>
      </c>
      <c r="B21" s="53" t="n">
        <f aca="false">Financials!E23</f>
        <v>42.0442124943001</v>
      </c>
      <c r="C21" s="7"/>
    </row>
    <row r="22" customFormat="false" ht="15" hidden="false" customHeight="false" outlineLevel="0" collapsed="false">
      <c r="A22" s="0" t="s">
        <v>310</v>
      </c>
      <c r="B22" s="53" t="n">
        <f aca="false">Assumptions!$B$7/Assumptions!$B$16</f>
        <v>42.6701434159061</v>
      </c>
      <c r="C22" s="7"/>
    </row>
    <row r="23" customFormat="false" ht="15" hidden="false" customHeight="false" outlineLevel="0" collapsed="false">
      <c r="A23" s="0" t="s">
        <v>311</v>
      </c>
      <c r="B23" s="53" t="n">
        <f aca="false">Financials!F23</f>
        <v>31.6468021280247</v>
      </c>
      <c r="C23" s="7"/>
    </row>
    <row r="24" customFormat="false" ht="15" hidden="false" customHeight="false" outlineLevel="0" collapsed="false">
      <c r="A24" s="0" t="s">
        <v>312</v>
      </c>
      <c r="B24" s="53" t="n">
        <f aca="false">Assumptions!$B$8/Assumptions!$B$18</f>
        <v>31.4758881070877</v>
      </c>
      <c r="C24" s="7" t="s">
        <v>313</v>
      </c>
    </row>
    <row r="25" customFormat="false" ht="15" hidden="false" customHeight="false" outlineLevel="0" collapsed="false">
      <c r="A25" s="0" t="s">
        <v>314</v>
      </c>
      <c r="B25" s="53" t="n">
        <f aca="false">Financials!F20</f>
        <v>32.224638530638</v>
      </c>
      <c r="C25" s="7"/>
    </row>
    <row r="26" customFormat="false" ht="15" hidden="false" customHeight="false" outlineLevel="0" collapsed="false">
      <c r="A26" s="0" t="s">
        <v>315</v>
      </c>
      <c r="B26" s="53" t="n">
        <f aca="false">Financials!G20</f>
        <v>27.0079183791713</v>
      </c>
      <c r="C26" s="7"/>
    </row>
    <row r="27" customFormat="false" ht="15" hidden="false" customHeight="false" outlineLevel="0" collapsed="false">
      <c r="A27" s="0" t="s">
        <v>316</v>
      </c>
      <c r="B27" s="38" t="n">
        <f aca="false">DCF!B17</f>
        <v>1225.75649713462</v>
      </c>
      <c r="C27" s="7" t="s">
        <v>317</v>
      </c>
    </row>
    <row r="28" customFormat="false" ht="15" hidden="false" customHeight="false" outlineLevel="0" collapsed="false">
      <c r="A28" s="0" t="s">
        <v>318</v>
      </c>
      <c r="B28" s="53" t="n">
        <f aca="false">Peers!G10</f>
        <v>36.0614507068922</v>
      </c>
      <c r="C28" s="7"/>
    </row>
    <row r="29" customFormat="false" ht="15" hidden="false" customHeight="false" outlineLevel="0" collapsed="false">
      <c r="A29" s="0" t="s">
        <v>319</v>
      </c>
      <c r="B29" s="53" t="n">
        <f aca="false">Assumptions!$B$13/Financials!C18</f>
        <v>27.4666127074059</v>
      </c>
      <c r="C29" s="7" t="s">
        <v>320</v>
      </c>
    </row>
    <row r="30" customFormat="false" ht="15" hidden="false" customHeight="false" outlineLevel="0" collapsed="false">
      <c r="A30" s="0" t="s">
        <v>321</v>
      </c>
      <c r="B30" s="53" t="n">
        <f aca="false">Assumptions!$B$14/Financials!E18</f>
        <v>23.3338038647406</v>
      </c>
      <c r="C30" s="7"/>
    </row>
    <row r="31" customFormat="false" ht="15" hidden="false" customHeight="false" outlineLevel="0" collapsed="false">
      <c r="A31" s="0" t="s">
        <v>322</v>
      </c>
      <c r="B31" s="39" t="n">
        <f aca="false">Assumptions!$B$7/Assumptions!$B$11-1</f>
        <v>-0.0493784129197165</v>
      </c>
      <c r="C31" s="7"/>
    </row>
    <row r="32" customFormat="false" ht="15" hidden="false" customHeight="false" outlineLevel="0" collapsed="false">
      <c r="A32" s="0" t="s">
        <v>323</v>
      </c>
      <c r="B32" s="39" t="n">
        <f aca="false">Assumptions!$B$7/Assumptions!$B$12-1</f>
        <v>1.01056640864971</v>
      </c>
      <c r="C32" s="7"/>
    </row>
    <row r="33" customFormat="false" ht="15" hidden="false" customHeight="false" outlineLevel="0" collapsed="false">
      <c r="A33" s="0" t="s">
        <v>324</v>
      </c>
      <c r="B33" s="39" t="n">
        <f aca="false">Assumptions!$B$7/Assumptions!$B$14-1</f>
        <v>0.775993054048188</v>
      </c>
      <c r="C33" s="7"/>
    </row>
    <row r="34" customFormat="false" ht="15" hidden="false" customHeight="false" outlineLevel="0" collapsed="false">
      <c r="A34" s="0" t="s">
        <v>325</v>
      </c>
      <c r="B34" s="51" t="n">
        <f aca="false">Assumptions!$B$23/Segments!D13*12</f>
        <v>19.0225665289712</v>
      </c>
      <c r="C34" s="7"/>
    </row>
    <row r="35" customFormat="false" ht="15" hidden="false" customHeight="false" outlineLevel="0" collapsed="false">
      <c r="A35" s="0" t="s">
        <v>326</v>
      </c>
      <c r="B35" s="38" t="n">
        <f aca="false">Assumptions!$B$19/Assumptions!$B$9</f>
        <v>1869.7311207738</v>
      </c>
      <c r="C35" s="7"/>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4" min="2" style="0" width="14"/>
  </cols>
  <sheetData>
    <row r="1" customFormat="false" ht="15" hidden="false" customHeight="false" outlineLevel="0" collapsed="false">
      <c r="A1" s="1" t="s">
        <v>327</v>
      </c>
    </row>
    <row r="2" customFormat="false" ht="15" hidden="false" customHeight="false" outlineLevel="0" collapsed="false">
      <c r="A2" s="2" t="s">
        <v>1</v>
      </c>
    </row>
    <row r="4" customFormat="false" ht="15" hidden="false" customHeight="false" outlineLevel="0" collapsed="false">
      <c r="A4" s="3" t="s">
        <v>328</v>
      </c>
      <c r="B4" s="54" t="n">
        <v>24</v>
      </c>
      <c r="C4" s="54" t="n">
        <f aca="false">Assumptions!$B$65</f>
        <v>28</v>
      </c>
      <c r="D4" s="54" t="n">
        <v>32</v>
      </c>
    </row>
    <row r="5" customFormat="false" ht="15" hidden="false" customHeight="false" outlineLevel="0" collapsed="false">
      <c r="A5" s="55" t="n">
        <v>85</v>
      </c>
      <c r="B5" s="56" t="n">
        <f aca="false">((($A5*Segments!$F$6*(1+Assumptions!$B$41)+Scenarios!$J$6+Scenarios!$K$6+Scenarios!$L$6)*Assumptions!$B$48-Assumptions!$B$51-Assumptions!$B$54+Assumptions!$B$57)*(1-Assumptions!$B$61)+Assumptions!$B$60)/Assumptions!$B$64*B$4</f>
        <v>1332.45348358856</v>
      </c>
      <c r="C5" s="56" t="n">
        <f aca="false">((($A5*Segments!$F$6*(1+Assumptions!$B$41)+Scenarios!$J$6+Scenarios!$K$6+Scenarios!$L$6)*Assumptions!$B$48-Assumptions!$B$51-Assumptions!$B$54+Assumptions!$B$57)*(1-Assumptions!$B$61)+Assumptions!$B$60)/Assumptions!$B$64*C$4</f>
        <v>1554.52906418666</v>
      </c>
      <c r="D5" s="56" t="n">
        <f aca="false">((($A5*Segments!$F$6*(1+Assumptions!$B$41)+Scenarios!$J$6+Scenarios!$K$6+Scenarios!$L$6)*Assumptions!$B$48-Assumptions!$B$51-Assumptions!$B$54+Assumptions!$B$57)*(1-Assumptions!$B$61)+Assumptions!$B$60)/Assumptions!$B$64*D$4</f>
        <v>1776.60464478475</v>
      </c>
    </row>
    <row r="6" customFormat="false" ht="15" hidden="false" customHeight="false" outlineLevel="0" collapsed="false">
      <c r="A6" s="40" t="n">
        <f aca="false">Assumptions!$B$39</f>
        <v>100</v>
      </c>
      <c r="B6" s="56" t="n">
        <f aca="false">((($A6*Segments!$F$6*(1+Assumptions!$B$41)+Scenarios!$J$6+Scenarios!$K$6+Scenarios!$L$6)*Assumptions!$B$48-Assumptions!$B$51-Assumptions!$B$54+Assumptions!$B$57)*(1-Assumptions!$B$61)+Assumptions!$B$60)/Assumptions!$B$64*B$4</f>
        <v>1454.15131401937</v>
      </c>
      <c r="C6" s="57" t="n">
        <f aca="false">((($A6*Segments!$F$6*(1+Assumptions!$B$41)+Scenarios!$J$6+Scenarios!$K$6+Scenarios!$L$6)*Assumptions!$B$48-Assumptions!$B$51-Assumptions!$B$54+Assumptions!$B$57)*(1-Assumptions!$B$61)+Assumptions!$B$60)/Assumptions!$B$64*C$4</f>
        <v>1696.50986635594</v>
      </c>
      <c r="D6" s="56" t="n">
        <f aca="false">((($A6*Segments!$F$6*(1+Assumptions!$B$41)+Scenarios!$J$6+Scenarios!$K$6+Scenarios!$L$6)*Assumptions!$B$48-Assumptions!$B$51-Assumptions!$B$54+Assumptions!$B$57)*(1-Assumptions!$B$61)+Assumptions!$B$60)/Assumptions!$B$64*D$4</f>
        <v>1938.8684186925</v>
      </c>
    </row>
    <row r="7" customFormat="false" ht="15" hidden="false" customHeight="false" outlineLevel="0" collapsed="false">
      <c r="A7" s="55" t="n">
        <v>110</v>
      </c>
      <c r="B7" s="56" t="n">
        <f aca="false">((($A7*Segments!$F$6*(1+Assumptions!$B$41)+Scenarios!$J$6+Scenarios!$K$6+Scenarios!$L$6)*Assumptions!$B$48-Assumptions!$B$51-Assumptions!$B$54+Assumptions!$B$57)*(1-Assumptions!$B$61)+Assumptions!$B$60)/Assumptions!$B$64*B$4</f>
        <v>1535.28320097325</v>
      </c>
      <c r="C7" s="56" t="n">
        <f aca="false">((($A7*Segments!$F$6*(1+Assumptions!$B$41)+Scenarios!$J$6+Scenarios!$K$6+Scenarios!$L$6)*Assumptions!$B$48-Assumptions!$B$51-Assumptions!$B$54+Assumptions!$B$57)*(1-Assumptions!$B$61)+Assumptions!$B$60)/Assumptions!$B$64*C$4</f>
        <v>1791.16373446879</v>
      </c>
      <c r="D7" s="56" t="n">
        <f aca="false">((($A7*Segments!$F$6*(1+Assumptions!$B$41)+Scenarios!$J$6+Scenarios!$K$6+Scenarios!$L$6)*Assumptions!$B$48-Assumptions!$B$51-Assumptions!$B$54+Assumptions!$B$57)*(1-Assumptions!$B$61)+Assumptions!$B$60)/Assumptions!$B$64*D$4</f>
        <v>2047.04426796433</v>
      </c>
    </row>
    <row r="9" customFormat="false" ht="15" hidden="false" customHeight="false" outlineLevel="0" collapsed="false">
      <c r="A9" s="5" t="s">
        <v>329</v>
      </c>
      <c r="B9" s="0" t="n">
        <f aca="false">COUNTIF(B5:D7,"&gt;"&amp;Assumptions!$B$7)</f>
        <v>5</v>
      </c>
      <c r="C9" s="0" t="s">
        <v>330</v>
      </c>
    </row>
    <row r="10" customFormat="false" ht="15" hidden="false" customHeight="false" outlineLevel="0" collapsed="false">
      <c r="A10" s="5" t="s">
        <v>331</v>
      </c>
      <c r="B10" s="0" t="n">
        <f aca="false">COUNTIF(B5:D7,"&gt;="&amp;Assumptions!$B$7*1.15)</f>
        <v>2</v>
      </c>
      <c r="C10" s="0" t="s">
        <v>330</v>
      </c>
    </row>
    <row r="11" customFormat="false" ht="15" hidden="false" customHeight="false" outlineLevel="0" collapsed="false">
      <c r="A11" s="5" t="s">
        <v>332</v>
      </c>
      <c r="B11" s="0" t="n">
        <f aca="false">COUNTIF(B5:D7,"&lt;="&amp;Assumptions!$B$7*0.75)</f>
        <v>0</v>
      </c>
      <c r="C11" s="0" t="s">
        <v>330</v>
      </c>
    </row>
    <row r="13" customFormat="false" ht="15" hidden="false" customHeight="false" outlineLevel="0" collapsed="false">
      <c r="A13" s="12" t="s">
        <v>333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7" min="3" style="0" width="12"/>
    <col collapsed="false" customWidth="true" hidden="false" outlineLevel="0" max="8" min="8" style="0" width="20"/>
    <col collapsed="false" customWidth="true" hidden="false" outlineLevel="0" max="9" min="9" style="0" width="60"/>
  </cols>
  <sheetData>
    <row r="1" customFormat="false" ht="15" hidden="false" customHeight="false" outlineLevel="0" collapsed="false">
      <c r="A1" s="1" t="s">
        <v>334</v>
      </c>
    </row>
    <row r="2" customFormat="false" ht="15" hidden="false" customHeight="false" outlineLevel="0" collapsed="false">
      <c r="A2" s="2" t="s">
        <v>1</v>
      </c>
    </row>
    <row r="4" customFormat="false" ht="15" hidden="false" customHeight="false" outlineLevel="0" collapsed="false">
      <c r="A4" s="3" t="s">
        <v>335</v>
      </c>
      <c r="B4" s="4" t="s">
        <v>336</v>
      </c>
      <c r="C4" s="4" t="s">
        <v>337</v>
      </c>
      <c r="D4" s="4" t="s">
        <v>338</v>
      </c>
      <c r="E4" s="4" t="s">
        <v>339</v>
      </c>
      <c r="F4" s="4" t="s">
        <v>340</v>
      </c>
      <c r="G4" s="4" t="s">
        <v>241</v>
      </c>
      <c r="H4" s="4" t="s">
        <v>341</v>
      </c>
      <c r="I4" s="4" t="s">
        <v>342</v>
      </c>
    </row>
    <row r="5" customFormat="false" ht="15" hidden="false" customHeight="false" outlineLevel="0" collapsed="false">
      <c r="A5" s="5" t="s">
        <v>343</v>
      </c>
      <c r="B5" s="0" t="s">
        <v>344</v>
      </c>
      <c r="C5" s="33" t="n">
        <f aca="false">Assumptions!$B$8</f>
        <v>1834.1</v>
      </c>
      <c r="D5" s="33" t="n">
        <f aca="false">Assumptions!$B$18</f>
        <v>58.27</v>
      </c>
      <c r="E5" s="0" t="s">
        <v>57</v>
      </c>
      <c r="F5" s="0" t="s">
        <v>345</v>
      </c>
      <c r="G5" s="32" t="n">
        <f aca="false">C5/D5</f>
        <v>31.4758881070877</v>
      </c>
      <c r="H5" s="0" t="s">
        <v>346</v>
      </c>
      <c r="I5" s="0" t="s">
        <v>347</v>
      </c>
    </row>
    <row r="6" customFormat="false" ht="15" hidden="false" customHeight="false" outlineLevel="0" collapsed="false">
      <c r="A6" s="0" t="s">
        <v>348</v>
      </c>
      <c r="B6" s="0" t="s">
        <v>349</v>
      </c>
      <c r="C6" s="29" t="n">
        <v>530.27</v>
      </c>
      <c r="D6" s="29" t="n">
        <v>18.3</v>
      </c>
      <c r="E6" s="0" t="s">
        <v>57</v>
      </c>
      <c r="F6" s="0" t="s">
        <v>350</v>
      </c>
      <c r="G6" s="32" t="n">
        <f aca="false">C6/D6</f>
        <v>28.9765027322404</v>
      </c>
      <c r="H6" s="0" t="s">
        <v>346</v>
      </c>
      <c r="I6" s="7" t="s">
        <v>351</v>
      </c>
    </row>
    <row r="7" customFormat="false" ht="15" hidden="false" customHeight="false" outlineLevel="0" collapsed="false">
      <c r="A7" s="0" t="s">
        <v>352</v>
      </c>
      <c r="B7" s="0" t="s">
        <v>353</v>
      </c>
      <c r="C7" s="29" t="n">
        <v>333.89</v>
      </c>
      <c r="D7" s="29" t="n">
        <v>9.32</v>
      </c>
      <c r="E7" s="0" t="s">
        <v>57</v>
      </c>
      <c r="F7" s="0" t="s">
        <v>354</v>
      </c>
      <c r="G7" s="32" t="n">
        <f aca="false">C7/D7</f>
        <v>35.8251072961373</v>
      </c>
      <c r="H7" s="0" t="s">
        <v>346</v>
      </c>
      <c r="I7" s="7" t="s">
        <v>355</v>
      </c>
    </row>
    <row r="8" customFormat="false" ht="15" hidden="false" customHeight="false" outlineLevel="0" collapsed="false">
      <c r="A8" s="0" t="s">
        <v>356</v>
      </c>
      <c r="B8" s="0" t="s">
        <v>357</v>
      </c>
      <c r="C8" s="29" t="n">
        <v>197.46</v>
      </c>
      <c r="D8" s="29" t="n">
        <v>5.44</v>
      </c>
      <c r="E8" s="0" t="s">
        <v>57</v>
      </c>
      <c r="F8" s="0" t="s">
        <v>354</v>
      </c>
      <c r="G8" s="32" t="n">
        <f aca="false">C8/D8</f>
        <v>36.2977941176471</v>
      </c>
      <c r="H8" s="0" t="s">
        <v>346</v>
      </c>
      <c r="I8" s="7" t="s">
        <v>358</v>
      </c>
    </row>
    <row r="9" customFormat="false" ht="15" hidden="false" customHeight="false" outlineLevel="0" collapsed="false">
      <c r="A9" s="0" t="s">
        <v>359</v>
      </c>
      <c r="B9" s="0" t="s">
        <v>360</v>
      </c>
      <c r="C9" s="29" t="n">
        <v>12805</v>
      </c>
      <c r="D9" s="29" t="n">
        <v>344.66</v>
      </c>
      <c r="E9" s="0" t="s">
        <v>361</v>
      </c>
      <c r="F9" s="0" t="s">
        <v>362</v>
      </c>
      <c r="G9" s="32" t="n">
        <f aca="false">C9/D9</f>
        <v>37.1525561422852</v>
      </c>
      <c r="H9" s="0" t="s">
        <v>363</v>
      </c>
      <c r="I9" s="7" t="s">
        <v>364</v>
      </c>
    </row>
    <row r="10" customFormat="false" ht="15" hidden="false" customHeight="false" outlineLevel="0" collapsed="false">
      <c r="A10" s="5" t="s">
        <v>365</v>
      </c>
      <c r="G10" s="53" t="n">
        <f aca="false">MEDIAN(G6:G9)</f>
        <v>36.0614507068922</v>
      </c>
    </row>
    <row r="12" customFormat="false" ht="15" hidden="false" customHeight="false" outlineLevel="0" collapsed="false">
      <c r="A12" s="12" t="s">
        <v>366</v>
      </c>
    </row>
    <row r="13" customFormat="false" ht="15" hidden="false" customHeight="false" outlineLevel="0" collapsed="false">
      <c r="A13" s="12" t="s">
        <v>367</v>
      </c>
    </row>
    <row r="14" customFormat="false" ht="15" hidden="false" customHeight="false" outlineLevel="0" collapsed="false">
      <c r="A14" s="12" t="s">
        <v>368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130"/>
  </cols>
  <sheetData>
    <row r="1" customFormat="false" ht="15" hidden="false" customHeight="false" outlineLevel="0" collapsed="false">
      <c r="A1" s="1" t="s">
        <v>369</v>
      </c>
    </row>
    <row r="2" customFormat="false" ht="15" hidden="false" customHeight="false" outlineLevel="0" collapsed="false">
      <c r="A2" s="2" t="s">
        <v>1</v>
      </c>
    </row>
    <row r="4" customFormat="false" ht="15" hidden="false" customHeight="false" outlineLevel="0" collapsed="false">
      <c r="A4" s="3" t="s">
        <v>370</v>
      </c>
      <c r="B4" s="4" t="s">
        <v>371</v>
      </c>
    </row>
    <row r="5" customFormat="false" ht="46.25" hidden="false" customHeight="false" outlineLevel="0" collapsed="false">
      <c r="A5" s="0" t="n">
        <v>1</v>
      </c>
      <c r="B5" s="7" t="s">
        <v>372</v>
      </c>
    </row>
    <row r="6" customFormat="false" ht="23.85" hidden="false" customHeight="false" outlineLevel="0" collapsed="false">
      <c r="A6" s="0" t="n">
        <v>2</v>
      </c>
      <c r="B6" s="7" t="s">
        <v>373</v>
      </c>
    </row>
    <row r="7" customFormat="false" ht="23.85" hidden="false" customHeight="false" outlineLevel="0" collapsed="false">
      <c r="A7" s="0" t="n">
        <v>3</v>
      </c>
      <c r="B7" s="7" t="s">
        <v>374</v>
      </c>
    </row>
    <row r="8" customFormat="false" ht="23.85" hidden="false" customHeight="false" outlineLevel="0" collapsed="false">
      <c r="A8" s="0" t="n">
        <v>4</v>
      </c>
      <c r="B8" s="7" t="s">
        <v>375</v>
      </c>
    </row>
    <row r="9" customFormat="false" ht="15" hidden="false" customHeight="false" outlineLevel="0" collapsed="false">
      <c r="A9" s="0" t="n">
        <v>5</v>
      </c>
      <c r="B9" s="7" t="s">
        <v>376</v>
      </c>
    </row>
    <row r="10" customFormat="false" ht="23.85" hidden="false" customHeight="false" outlineLevel="0" collapsed="false">
      <c r="A10" s="0" t="n">
        <v>6</v>
      </c>
      <c r="B10" s="7" t="s">
        <v>377</v>
      </c>
    </row>
    <row r="11" customFormat="false" ht="23.85" hidden="false" customHeight="false" outlineLevel="0" collapsed="false">
      <c r="A11" s="0" t="n">
        <v>7</v>
      </c>
      <c r="B11" s="7" t="s">
        <v>378</v>
      </c>
    </row>
    <row r="12" customFormat="false" ht="23.85" hidden="false" customHeight="false" outlineLevel="0" collapsed="false">
      <c r="A12" s="0" t="n">
        <v>8</v>
      </c>
      <c r="B12" s="7" t="s">
        <v>379</v>
      </c>
    </row>
    <row r="13" customFormat="false" ht="23.85" hidden="false" customHeight="false" outlineLevel="0" collapsed="false">
      <c r="A13" s="0" t="n">
        <v>9</v>
      </c>
      <c r="B13" s="7" t="s">
        <v>380</v>
      </c>
    </row>
    <row r="14" customFormat="false" ht="23.85" hidden="false" customHeight="false" outlineLevel="0" collapsed="false">
      <c r="A14" s="0" t="n">
        <v>10</v>
      </c>
      <c r="B14" s="7" t="s">
        <v>381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2026-10-07T12:26:37Z</dcterms:created>
  <dc:creator>openpyxl</dc:creator>
  <dc:description/>
  <dc:language>en-GB</dc:language>
  <cp:lastModifiedBy/>
  <dcterms:modified xsi:type="dcterms:W3CDTF">2026-10-07T12:26:37Z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