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Financials" sheetId="3" state="visible" r:id="rId5"/>
    <sheet name="Valuation" sheetId="4" state="visible" r:id="rId6"/>
    <sheet name="Scenarios" sheetId="5" state="visible" r:id="rId7"/>
    <sheet name="Sensitivity" sheetId="6" state="visible" r:id="rId8"/>
    <sheet name="Quarterly" sheetId="7" state="visible" r:id="rId9"/>
    <sheet name="Peers" sheetId="8" state="visible" r:id="rId10"/>
    <sheet name="Sourc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<sst xmlns="http://schemas.openxmlformats.org/spreadsheetml/2006/main" count="327" uniqueCount="276">
  <si>
    <t xml:space="preserve">VERTIV HOLDINGS CO (NYSE: VRT)  INITIATION MODEL</t>
  </si>
  <si>
    <t xml:space="preserve">Tommy Lau | Vertiv (NYSE: VRT) | 6 October 2026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</si>
  <si>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</si>
  <si>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</si>
  <si>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</si>
  <si>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</si>
  <si>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Initiate at LONG. Published 6 October 2026, 19:29 HKT.</t>
  </si>
  <si>
    <t xml:space="preserve">Target price, US$</t>
  </si>
  <si>
    <t xml:space="preserve">28x 2028E EPS, rounded to the nearest US$10.</t>
  </si>
  <si>
    <t xml:space="preserve">Reference price, US$</t>
  </si>
  <si>
    <t xml:space="preserve">NYSE close, 5 October 2026.</t>
  </si>
  <si>
    <t xml:space="preserve">Upside to target</t>
  </si>
  <si>
    <t xml:space="preserve">Conviction</t>
  </si>
  <si>
    <t xml:space="preserve">Medium</t>
  </si>
  <si>
    <t xml:space="preserve">Bear case is a 29% fall and Q3 results land within weeks.</t>
  </si>
  <si>
    <t xml:space="preserve">Horizon</t>
  </si>
  <si>
    <t xml:space="preserve">12 months, to October 2027</t>
  </si>
  <si>
    <t xml:space="preserve">2027E / 2028E adjusted EPS, US$</t>
  </si>
  <si>
    <t xml:space="preserve">Own estimates.</t>
  </si>
  <si>
    <t xml:space="preserve">Probability-weighted value, US$</t>
  </si>
  <si>
    <t xml:space="preserve">25 / 50 / 25 bear / base / bull.</t>
  </si>
  <si>
    <t xml:space="preserve">Wrong if</t>
  </si>
  <si>
    <t xml:space="preserve">See note</t>
  </si>
  <si>
    <t xml:space="preserve">Adjusted operating margin falls year on year in any quarter to mid 2027 while sales are still growing; or full year 2026 adjusted EPS lands below the US$6.65 bottom of Vertiv's own guide; or the 2026 annual report shows backlog below the US$15.0bn of a year earlier.</t>
  </si>
  <si>
    <t xml:space="preserve">Tabs</t>
  </si>
  <si>
    <t xml:space="preserve">Assumptions</t>
  </si>
  <si>
    <t xml:space="preserve">Every input, with its source. Change the yellow cells to move the target.</t>
  </si>
  <si>
    <t xml:space="preserve">Financials</t>
  </si>
  <si>
    <t xml:space="preserve">2024A to 2028E: sales, margin, operating profit, the EPS bridge, P/E.</t>
  </si>
  <si>
    <t xml:space="preserve">Valuation</t>
  </si>
  <si>
    <t xml:space="preserve">Target price, market value, net cash, multiple cross-checks.</t>
  </si>
  <si>
    <t xml:space="preserve">Scenarios</t>
  </si>
  <si>
    <t xml:space="preserve">Bear / base / bull and the probability-weighted value.</t>
  </si>
  <si>
    <t xml:space="preserve">Sensitivity</t>
  </si>
  <si>
    <t xml:space="preserve">2028E EPS against multiple.</t>
  </si>
  <si>
    <t xml:space="preserve">Quarterly</t>
  </si>
  <si>
    <t xml:space="preserve">Q1 2024 to Q2 2026: sales, margin, organic products and service growth, orders and backlog.</t>
  </si>
  <si>
    <t xml:space="preserve">Peers</t>
  </si>
  <si>
    <t xml:space="preserve">Forward multiples used to set the base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</si>
  <si>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</si>
  <si>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</si>
  <si>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</si>
  <si>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2026-10-06_Vertiv_Initiation.pdf. Personal research, not investment advice.</t>
  </si>
  <si>
    <t xml:space="preserve">ASSUMPTIONS AND INPUTS</t>
  </si>
  <si>
    <t xml:space="preserve">Blue = hardcoded input. Yellow fill = my own assumption (change these to move the target). Green = link to another tab. Black = formula. US$ billion unless stated.</t>
  </si>
  <si>
    <t xml:space="preserve">Input</t>
  </si>
  <si>
    <t xml:space="preserve">Unit</t>
  </si>
  <si>
    <t xml:space="preserve">Source / note</t>
  </si>
  <si>
    <t xml:space="preserve">MARKET</t>
  </si>
  <si>
    <t xml:space="preserve">Reference share price</t>
  </si>
  <si>
    <t xml:space="preserve">US$</t>
  </si>
  <si>
    <t xml:space="preserve">NYSE close, 5 October 2026. Yahoo Finance, retrieved 6 October 2026.</t>
  </si>
  <si>
    <t xml:space="preserve">Intraday peak share price, 14 May 2026</t>
  </si>
  <si>
    <t xml:space="preserve">Yahoo Finance, retrieved 6 October 2026.</t>
  </si>
  <si>
    <t xml:space="preserve">Diluted shares</t>
  </si>
  <si>
    <t xml:space="preserve">m</t>
  </si>
  <si>
    <t xml:space="preserve">Vertiv Form 10-Q, quarter to 30 June 2026, filed 29 July 2026.</t>
  </si>
  <si>
    <t xml:space="preserve">Cash and cash equivalents, 30 Jun 2026</t>
  </si>
  <si>
    <t xml:space="preserve">US$m</t>
  </si>
  <si>
    <t xml:space="preserve">Vertiv Form 10-Q, quarter to 30 June 2026.</t>
  </si>
  <si>
    <t xml:space="preserve">Short-term investments, 30 Jun 2026</t>
  </si>
  <si>
    <t xml:space="preserve">Total debt, 30 Jun 2026</t>
  </si>
  <si>
    <t xml:space="preserve">2027 consensus adjusted EPS</t>
  </si>
  <si>
    <t xml:space="preserve">MarketBeat, retrieved 6 October 2026. Cross-check only.</t>
  </si>
  <si>
    <t xml:space="preserve">Forward P/E shown by stockanalysis.com</t>
  </si>
  <si>
    <t xml:space="preserve">x</t>
  </si>
  <si>
    <t xml:space="preserve">stockanalysis.com, retrieved 6 October 2026. Cross-check only.</t>
  </si>
  <si>
    <t xml:space="preserve">REPORTED</t>
  </si>
  <si>
    <t xml:space="preserve">2024 net sales</t>
  </si>
  <si>
    <t xml:space="preserve">US$bn</t>
  </si>
  <si>
    <t xml:space="preserve">Sum of the four 2024 quarterly results releases (Form 8-K, Exhibit 99.1).</t>
  </si>
  <si>
    <t xml:space="preserve">2025 net sales</t>
  </si>
  <si>
    <t xml:space="preserve">Sum of the four 2025 quarterly results releases. Rounded quarters on the Quarterly tab sum to 10.24.</t>
  </si>
  <si>
    <t xml:space="preserve">2024 adjusted operating margin</t>
  </si>
  <si>
    <t xml:space="preserve">%</t>
  </si>
  <si>
    <t xml:space="preserve">Vertiv results releases.</t>
  </si>
  <si>
    <t xml:space="preserve">2025 adjusted operating margin</t>
  </si>
  <si>
    <t xml:space="preserve">2024 adjusted EPS</t>
  </si>
  <si>
    <t xml:space="preserve">Sum of the four 2024 quarterly results releases.</t>
  </si>
  <si>
    <t xml:space="preserve">2025 adjusted EPS</t>
  </si>
  <si>
    <t xml:space="preserve">Sum of the four 2025 quarterly results releases.</t>
  </si>
  <si>
    <t xml:space="preserve">2026 GUIDE (release of 29 July 2026)</t>
  </si>
  <si>
    <t xml:space="preserve">2026 net sales guide, low</t>
  </si>
  <si>
    <t xml:space="preserve">Raised from US$13.25 to 13.75bn in February 2026.</t>
  </si>
  <si>
    <t xml:space="preserve">2026 net sales guide, high</t>
  </si>
  <si>
    <t xml:space="preserve">Vertiv second quarter 2026 results release.</t>
  </si>
  <si>
    <t xml:space="preserve">2026 adjusted operating margin guide, low</t>
  </si>
  <si>
    <t xml:space="preserve">2026 adjusted operating margin guide, high</t>
  </si>
  <si>
    <t xml:space="preserve">2026 adjusted EPS guide, low</t>
  </si>
  <si>
    <t xml:space="preserve">Bottom of the guide is part of the falsifier (US$6.65).</t>
  </si>
  <si>
    <t xml:space="preserve">2026 adjusted EPS guide, high</t>
  </si>
  <si>
    <t xml:space="preserve">2026 adjusted operating profit guide, midpoint</t>
  </si>
  <si>
    <t xml:space="preserve">Vertiv second quarter 2026 results release, midpoint.</t>
  </si>
  <si>
    <t xml:space="preserve">2026 adjusted EPS guide at the May peak, midpoint</t>
  </si>
  <si>
    <t xml:space="preserve">Guide of the time, US$6.30 to 6.40. Used only for the peak-multiple cross-check.</t>
  </si>
  <si>
    <t xml:space="preserve">MY ASSUMPTIONS</t>
  </si>
  <si>
    <t xml:space="preserve">2027 net sales growth</t>
  </si>
  <si>
    <t xml:space="preserve">MY ASSUMPTION. Inside Vertiv's long-run target of 20 to 22% organic growth a year.</t>
  </si>
  <si>
    <t xml:space="preserve">2028 net sales growth</t>
  </si>
  <si>
    <t xml:space="preserve">MY ASSUMPTION. Same basis.</t>
  </si>
  <si>
    <t xml:space="preserve">2027 adjusted operating margin</t>
  </si>
  <si>
    <t xml:space="preserve">MY ASSUMPTION. About one point a year towards the 2030 target of about 27% or more (Investor Conference, 19 May 2026).</t>
  </si>
  <si>
    <t xml:space="preserve">2028 adjusted operating margin</t>
  </si>
  <si>
    <t xml:space="preserve">Target multiple on 2028E EPS (base)</t>
  </si>
  <si>
    <t xml:space="preserve">MY ASSUMPTION. In line with Eaton, nVent and Trane at about 28.5 to 29x forward (Peers tab).</t>
  </si>
  <si>
    <t xml:space="preserve">Target price rounding</t>
  </si>
  <si>
    <t xml:space="preserve">Base value rounded to the nearest US$10 for the published target.</t>
  </si>
  <si>
    <t xml:space="preserve">FINANCIAL SUMMARY AND FORECASTS (US$ billion unless stated)</t>
  </si>
  <si>
    <t xml:space="preserve">2024A</t>
  </si>
  <si>
    <t xml:space="preserve">2025A</t>
  </si>
  <si>
    <t xml:space="preserve">2026 guide</t>
  </si>
  <si>
    <t xml:space="preserve">2027E*</t>
  </si>
  <si>
    <t xml:space="preserve">2028E*</t>
  </si>
  <si>
    <t xml:space="preserve">Net sales</t>
  </si>
  <si>
    <t xml:space="preserve">Net sales growth</t>
  </si>
  <si>
    <t xml:space="preserve">Adjusted operating margin</t>
  </si>
  <si>
    <t xml:space="preserve">Adjusted operating profit</t>
  </si>
  <si>
    <t xml:space="preserve">EPS per US$bn of adjusted operating profit</t>
  </si>
  <si>
    <t xml:space="preserve">Adjusted EPS, US$</t>
  </si>
  <si>
    <t xml:space="preserve">Adjusted EPS growth</t>
  </si>
  <si>
    <t xml:space="preserve">P/E at reference price</t>
  </si>
  <si>
    <t xml:space="preserve">*2027E and 2028E are my own estimates, not Vertiv's. 2026 is the midpoint of Vertiv's own guide of 29 July 2026.</t>
  </si>
  <si>
    <t xml:space="preserve">2024A and 2025A adjusted operating profit are derived as sales x margin; they are not separately sourced figures.</t>
  </si>
  <si>
    <t xml:space="preserve">EPS bridge: earnings are tied to adjusted operating profit at the ratio implied by the 2026 guide midpoints (US$6.70 EPS per US$3.325bn</t>
  </si>
  <si>
    <t xml:space="preserve">of operating profit). This carries the current tax rate, interest cost and share count forward unchanged.</t>
  </si>
  <si>
    <t xml:space="preserve">Pitch check: 2027E sales 16.94, EPS 8.53; 2028E sales 20.33, EPS 10.65; P/E 37.9x / 29.7x / 23.8x.</t>
  </si>
  <si>
    <t xml:space="preserve">VALUATION: 28x 2028E EPS, TWELVE MONTHS OUT</t>
  </si>
  <si>
    <t xml:space="preserve">Line</t>
  </si>
  <si>
    <t xml:space="preserve">Working / note</t>
  </si>
  <si>
    <t xml:space="preserve">2028E adjusted EPS, US$</t>
  </si>
  <si>
    <t xml:space="preserve">Financials tab. The market will be pricing 2028 by October 2027.</t>
  </si>
  <si>
    <t xml:space="preserve">Target multiple, x</t>
  </si>
  <si>
    <t xml:space="preserve">Assumptions tab.</t>
  </si>
  <si>
    <t xml:space="preserve">Base-case value, US$</t>
  </si>
  <si>
    <t xml:space="preserve">EPS x multiple.</t>
  </si>
  <si>
    <t xml:space="preserve">TARGET PRICE, US$</t>
  </si>
  <si>
    <t xml:space="preserve">Base value rounded to the nearest US$10.</t>
  </si>
  <si>
    <t xml:space="preserve">Published as +18%.</t>
  </si>
  <si>
    <t xml:space="preserve">Upside to unrounded base value</t>
  </si>
  <si>
    <t xml:space="preserve">CALL</t>
  </si>
  <si>
    <t xml:space="preserve">LONG / NO CALL is the site's convention. Conviction Medium (judgement, not formula).</t>
  </si>
  <si>
    <t xml:space="preserve">Market value, US$bn</t>
  </si>
  <si>
    <t xml:space="preserve">Diluted shares x price.</t>
  </si>
  <si>
    <t xml:space="preserve">Net cash, US$m</t>
  </si>
  <si>
    <t xml:space="preserve">Cash + short-term investments - debt, 30 June 2026.</t>
  </si>
  <si>
    <t xml:space="preserve">Enterprise value, US$bn</t>
  </si>
  <si>
    <t xml:space="preserve">Market value less net cash.</t>
  </si>
  <si>
    <t xml:space="preserve">P/E on 2026 guide midpoint</t>
  </si>
  <si>
    <t xml:space="preserve">Published as 37.9x.</t>
  </si>
  <si>
    <t xml:space="preserve">P/E on 2027 consensus</t>
  </si>
  <si>
    <t xml:space="preserve">Published as 28.4x (MarketBeat US$8.93).</t>
  </si>
  <si>
    <t xml:space="preserve">P/E on my 2027E</t>
  </si>
  <si>
    <t xml:space="preserve">Published as 29.7x.</t>
  </si>
  <si>
    <t xml:space="preserve">P/E on my 2028E</t>
  </si>
  <si>
    <t xml:space="preserve">Published as 23.8x.</t>
  </si>
  <si>
    <t xml:space="preserve">My 2027E EPS against consensus</t>
  </si>
  <si>
    <t xml:space="preserve">Published as about 4.5% below.</t>
  </si>
  <si>
    <t xml:space="preserve">P/E at the May peak on that day's 2026 guide</t>
  </si>
  <si>
    <t xml:space="preserve">Published as about 60x (intraday peak over the US$6.30 to 6.40 guide midpoint).</t>
  </si>
  <si>
    <t xml:space="preserve">Target price on 2027E EPS</t>
  </si>
  <si>
    <t xml:space="preserve">Cross-check: the target on next year's earnings.</t>
  </si>
  <si>
    <t xml:space="preserve">Vertiv forward P/E premium to Eaton / nVent / Trane (28.75x)</t>
  </si>
  <si>
    <t xml:space="preserve">stockanalysis.com forward multiples, 6 October 2026.</t>
  </si>
  <si>
    <t xml:space="preserve">THREE CASES, TWELVE MONTHS OUT</t>
  </si>
  <si>
    <t xml:space="preserve">Case</t>
  </si>
  <si>
    <t xml:space="preserve">2027 growth</t>
  </si>
  <si>
    <t xml:space="preserve">2028 growth</t>
  </si>
  <si>
    <t xml:space="preserve">2028 margin</t>
  </si>
  <si>
    <t xml:space="preserve">2027 sales</t>
  </si>
  <si>
    <t xml:space="preserve">2028 sales</t>
  </si>
  <si>
    <t xml:space="preserve">2028 adj OP</t>
  </si>
  <si>
    <t xml:space="preserve">2028 EPS</t>
  </si>
  <si>
    <t xml:space="preserve">Multiple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</si>
  <si>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</si>
  <si>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</si>
  <si>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</si>
  <si>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</si>
  <si>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</si>
  <si>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</si>
  <si>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</si>
  <si>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Published: bear US$8.17 x 22 = ~US$180 (down 29%); base US$10.65 x 28 = ~US$298 (up 18%); bull US$11.52 x 34 = ~US$392 (up 54%);</t>
  </si>
  <si>
    <t xml:space="preserve">weighted 25/50/25 on the unrounded cases (179.70 / 298.20 / 391.80) = about US$292, about 15% above the price.</t>
  </si>
  <si>
    <t xml:space="preserve">Bear growth of 11% and bull growth of 23% are the midpoints of the</t>
  </si>
  <si>
    <t xml:space="preserve">published ranges (10 to 12%, 22 to 24%); they reproduce the published EPS. All cases start from the 2026 guide midpoint of US$14.0bn</t>
  </si>
  <si>
    <t xml:space="preserve">and use the same EPS-per-operating-profit ratio as the base case.</t>
  </si>
  <si>
    <t xml:space="preserve">VALUE PER SHARE: 2028E EPS AGAINST MULTIPLE (US$)</t>
  </si>
  <si>
    <t xml:space="preserve">2028 EPS \ multiple</t>
  </si>
  <si>
    <t xml:space="preserve">Cells above the reference price</t>
  </si>
  <si>
    <t xml:space="preserve">of 9</t>
  </si>
  <si>
    <t xml:space="preserve">Middle row links to the model's 2028E EPS and the middle column to the base multiple, so the grid moves with the assumptions.</t>
  </si>
  <si>
    <t xml:space="preserve">Published grid: 228 / 266 / 304; 256 / 298 / 341; 276 / 322 / 368.</t>
  </si>
  <si>
    <t xml:space="preserve">QUARTERLY HISTORY, Q1 2024 TO Q2 2026</t>
  </si>
  <si>
    <t xml:space="preserve">US$ billion unless stated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</si>
  <si>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</si>
  <si>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</si>
  <si>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</si>
  <si>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</si>
  <si>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</si>
  <si>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</si>
  <si>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</si>
  <si>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</si>
  <si>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</si>
  <si>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</si>
  <si>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Reported sales growth y/y (derived)</t>
  </si>
  <si>
    <t xml:space="preserve">Margin change y/y, points (derived)</t>
  </si>
  <si>
    <t xml:space="preserve">Adjusted operating profit (derived, sales x margin)</t>
  </si>
  <si>
    <t xml:space="preserve">Organic growth, products</t>
  </si>
  <si>
    <t xml:space="preserve">Organic growth, service and spares</t>
  </si>
  <si>
    <t xml:space="preserve">Service minus products, points (derived)</t>
  </si>
  <si>
    <t xml:space="preserve">Service grew faster than products? (derived)</t>
  </si>
  <si>
    <t xml:space="preserve">Annual checks</t>
  </si>
  <si>
    <t xml:space="preserve">Sum of quarterly sales, 2024 / 2025</t>
  </si>
  <si>
    <t xml:space="preserve">Annual inputs 8.01 / 10.23; 2025 differs by rounding of quarters.</t>
  </si>
  <si>
    <t xml:space="preserve">Quarters since Q3 25 beating prior year margin</t>
  </si>
  <si>
    <t xml:space="preserve">of 4</t>
  </si>
  <si>
    <t xml:space="preserve">Quarters where service grew more slowly than products</t>
  </si>
  <si>
    <t xml:space="preserve">of 10</t>
  </si>
  <si>
    <t xml:space="preserve">Adjusted EPS, orders and backlog</t>
  </si>
  <si>
    <t xml:space="preserve">Adjusted EPS, 2024 (sum of quarters)</t>
  </si>
  <si>
    <t xml:space="preserve">Quarterly adjusted EPS is not compiled in the source pitch; annual figures only.</t>
  </si>
  <si>
    <t xml:space="preserve">Adjusted EPS, 2025 (sum of quarters)</t>
  </si>
  <si>
    <t xml:space="preserve">Organic orders growth, Q4 2025</t>
  </si>
  <si>
    <t xml:space="preserve">About 252%. Q4 2025 results release, 11 February 2026.</t>
  </si>
  <si>
    <t xml:space="preserve">Book-to-bill, Q4 2025</t>
  </si>
  <si>
    <t xml:space="preserve">About 2.9. Q4 2025 results release, cited in the journal piece of 25 September 2026.</t>
  </si>
  <si>
    <t xml:space="preserve">Backlog, 31 December 2025, US$bn</t>
  </si>
  <si>
    <t xml:space="preserve">Up 109% on a year earlier. The 2026 Form 10-K (due February 2027) gives the next figure.</t>
  </si>
  <si>
    <t xml:space="preserve">Backlog growth y/y, 2025</t>
  </si>
  <si>
    <t xml:space="preserve">Orders and backlog, Q1 2026 onwards</t>
  </si>
  <si>
    <t xml:space="preserve">n.d.</t>
  </si>
  <si>
    <t xml:space="preserve">Quarterly disclosure ended; announced on the Q4 2025 call, 11 February 2026. Backlog now annual only.</t>
  </si>
  <si>
    <t xml:space="preserve">Earlier quarterly orders and book-to-bill</t>
  </si>
  <si>
    <t xml:space="preserve">n.c.</t>
  </si>
  <si>
    <t xml:space="preserve">Not compiled in the source pitch; not reproduced here.</t>
  </si>
  <si>
    <t xml:space="preserve">EMEA organic growth, Q2 2026</t>
  </si>
  <si>
    <t xml:space="preserve">Vertiv Form 10-Q / Q2 2026 release. A weak spot in the evidence.</t>
  </si>
  <si>
    <t xml:space="preserve">Source: Vertiv quarterly results releases on Form 8-K, Exhibit 99.1, 24 April 2024 to 29 July 2026, including the organic growth reconciliation tables.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</si>
  <si>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</si>
  <si>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</si>
  <si>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</si>
  <si>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</si>
  <si>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</si>
  <si>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Vertiv</t>
  </si>
  <si>
    <t xml:space="preserve">NYSE: VRT</t>
  </si>
  <si>
    <t xml:space="preserve">Power, thermal and liquid cooling equipment and service for data centres; pure play</t>
  </si>
  <si>
    <t xml:space="preserve">Eaton</t>
  </si>
  <si>
    <t xml:space="preserve">NYSE: ETN</t>
  </si>
  <si>
    <t xml:space="preserve">Electrical equipment; data centre exposure is one division among several</t>
  </si>
  <si>
    <t xml:space="preserve">nVent</t>
  </si>
  <si>
    <t xml:space="preserve">NYSE: NVT</t>
  </si>
  <si>
    <t xml:space="preserve">Enclosures, electrical connections and liquid cooling</t>
  </si>
  <si>
    <t xml:space="preserve">Trane Technologies</t>
  </si>
  <si>
    <t xml:space="preserve">NYSE: TT</t>
  </si>
  <si>
    <t xml:space="preserve">HVAC and chillers; data centre cooling within a wider building business</t>
  </si>
  <si>
    <t xml:space="preserve">Schneider Electric</t>
  </si>
  <si>
    <t xml:space="preserve">EPA: SU</t>
  </si>
  <si>
    <t xml:space="preserve">Electrical distribution, automation, cooling via Motivair</t>
  </si>
  <si>
    <t xml:space="preserve">Vertiv on the 2026 guide midpoint</t>
  </si>
  <si>
    <t xml:space="preserve">Vertiv on my 2028E (base multiple)</t>
  </si>
  <si>
    <t xml:space="preserve">Eaton, nVent and Trane are published as 'about 28.5 to 29x'; the 28.75x midpoint is used here for arithmetic only.</t>
  </si>
  <si>
    <t xml:space="preserve">Multiples only, to set the base multiple. No view on the peers' shares is expressed.</t>
  </si>
  <si>
    <t xml:space="preserve">SOURCES</t>
  </si>
  <si>
    <t xml:space="preserve">No.</t>
  </si>
  <si>
    <t xml:space="preserve">Source and what it supports</t>
  </si>
  <si>
    <t xml:space="preserve">Vertiv quarterly results releases on Form 8-K, Exhibit 99.1, 24 April 2024 to 29 July 2026: sales, organic growth by products and service, adjusted operating profit and margin, adjusted EPS, orders and backlog.</t>
  </si>
  <si>
    <t xml:space="preserve">Vertiv Form 10-Q for the quarter to 30 June 2026, filed 29 July 2026: cash, short-term investments, debt, diluted share count, regional sales.</t>
  </si>
  <si>
    <t xml:space="preserve">Vertiv 2025 Form 10-K, filed 13 February 2026.</t>
  </si>
  <si>
    <t xml:space="preserve">Vertiv 2026 Investor Conference presentation, 19 May 2026: 2030 targets (adjusted operating margin of about 27% or more; 20 to 22% organic growth a year).</t>
  </si>
  <si>
    <t xml:space="preserve">Vertiv Form 8-K of 2 September 2026: agreement to buy UtilityInnovation Group for about US$1.45bn in cash plus up to US$1.15bn of earn-out.</t>
  </si>
  <si>
    <t xml:space="preserve">Vertiv fourth quarter 2025 earnings call, 11 February 2026: end of quarterly orders and backlog disclosure.</t>
  </si>
  <si>
    <t xml:space="preserve">MarketBeat, retrieved 6 October 2026: 2027 consensus adjusted EPS of US$8.93.</t>
  </si>
  <si>
    <t xml:space="preserve">stockanalysis.com, retrieved 6 October 2026: forward P/E for Vertiv, Eaton, nVent, Trane Technologies and Schneider Electric.</t>
  </si>
  <si>
    <t xml:space="preserve">Yahoo Finance, retrieved 6 October 2026: month-end closes, the 5 October 2026 close and the 14 May 2026 intraday peak.</t>
  </si>
  <si>
    <t xml:space="preserve">The Physical Layer, 'Vertiv is paid per megawatt, and AI has made every megawatt harder to build', 25 September 2026: https://thephysicallayer.fyi/journal/every-megawatt-got-harder/</t>
  </si>
  <si>
    <t xml:space="preserve">The published pitch and call, 6 October 2026: https://thephysicallayer.fyi/research/</t>
  </si>
  <si>
    <t xml:space="preserve">Estimates for 2027 and 2028 are the author's own. Personal research, not investment advice.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</si>
</sst>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&quot;US$&quot;#,##0.00"/>
    <numFmt numFmtId="166" formatCode="0.0%"/>
    <numFmt numFmtId="167" formatCode="#,##0.00"/>
    <numFmt numFmtId="168" formatCode="#,##0.0"/>
    <numFmt numFmtId="169" formatCode="0.0\x"/>
    <numFmt numFmtId="170" formatCode="0\x"/>
    <numFmt numFmtId="171" formatCode="0.0000"/>
    <numFmt numFmtId="172" formatCode="0%"/>
    <numFmt numFmtId="173" formatCode="&quot;US$&quot;#,##0"/>
    <numFmt numFmtId="174" formatCode="\+0.0;\-0.0"/>
    <numFmt numFmtId="175" formatCode="0.000"/>
    <numFmt numFmtId="176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Valuation!$B$12</f>
        <v>LONG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n">
        <f aca="false">Valuation!$B$8</f>
        <v>300</v>
      </c>
      <c r="C6" s="7" t="s">
        <v>8</v>
      </c>
    </row>
    <row r="7" customFormat="false" ht="15" hidden="false" customHeight="false" outlineLevel="0" collapsed="false">
      <c r="A7" s="5" t="s">
        <v>9</v>
      </c>
      <c r="B7" s="8" t="n">
        <f aca="false">Assumptions!$B$7</f>
        <v>253.62</v>
      </c>
      <c r="C7" s="7" t="s">
        <v>10</v>
      </c>
    </row>
    <row r="8" customFormat="false" ht="15" hidden="false" customHeight="false" outlineLevel="0" collapsed="false">
      <c r="A8" s="5" t="s">
        <v>11</v>
      </c>
      <c r="B8" s="9" t="n">
        <f aca="false">Valuation!$B$10</f>
        <v>0.182872013248167</v>
      </c>
      <c r="C8" s="7"/>
    </row>
    <row r="9" customFormat="false" ht="15" hidden="false" customHeight="false" outlineLevel="0" collapsed="false">
      <c r="A9" s="5" t="s">
        <v>12</v>
      </c>
      <c r="B9" s="10" t="s">
        <v>13</v>
      </c>
      <c r="C9" s="7" t="s">
        <v>14</v>
      </c>
    </row>
    <row r="10" customFormat="false" ht="15" hidden="false" customHeight="false" outlineLevel="0" collapsed="false">
      <c r="A10" s="5" t="s">
        <v>15</v>
      </c>
      <c r="B10" s="10" t="s">
        <v>16</v>
      </c>
      <c r="C10" s="7"/>
    </row>
    <row r="11" customFormat="false" ht="15" hidden="false" customHeight="false" outlineLevel="0" collapsed="false">
      <c r="A11" s="5" t="s">
        <v>17</v>
      </c>
      <c r="B11" s="6" t="str">
        <f aca="false">TEXT(Financials!E10,"0.00")&amp;" / "&amp;TEXT(Financials!F10,"0.00")</f>
        <v>8.53 / 10.65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n">
        <f aca="false">Scenarios!E11</f>
        <v>291.975414</v>
      </c>
      <c r="C12" s="7" t="s">
        <v>20</v>
      </c>
    </row>
    <row r="13" customFormat="false" ht="43.5" hidden="false" customHeight="true" outlineLevel="0" collapsed="false">
      <c r="A13" s="5" t="s">
        <v>21</v>
      </c>
      <c r="B13" s="10" t="s">
        <v>22</v>
      </c>
      <c r="C13" s="7" t="s">
        <v>23</v>
      </c>
    </row>
    <row r="16" customFormat="false" ht="15" hidden="false" customHeight="false" outlineLevel="0" collapsed="false">
      <c r="A16" s="11" t="s">
        <v>24</v>
      </c>
    </row>
    <row r="17" customFormat="false" ht="15" hidden="false" customHeight="false" outlineLevel="0" collapsed="false">
      <c r="A17" s="0" t="s">
        <v>25</v>
      </c>
      <c r="B17" s="0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6" customFormat="false" ht="15" hidden="false" customHeight="false" outlineLevel="0" collapsed="false">
      <c r="A26" s="12" t="s">
        <v>41</v>
      </c>
    </row>
    <row r="27" customFormat="false" ht="15" hidden="false" customHeight="false" outlineLevel="0" collapsed="false">
      <c r="A27" s="1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44</v>
      </c>
    </row>
    <row r="5" customFormat="false" ht="15" hidden="false" customHeight="false" outlineLevel="0" collapsed="false">
      <c r="A5" s="3" t="s">
        <v>45</v>
      </c>
      <c r="B5" s="4" t="s">
        <v>3</v>
      </c>
      <c r="C5" s="4" t="s">
        <v>46</v>
      </c>
      <c r="D5" s="4" t="s">
        <v>47</v>
      </c>
    </row>
    <row r="6" customFormat="false" ht="15" hidden="false" customHeight="false" outlineLevel="0" collapsed="false">
      <c r="A6" s="11" t="s">
        <v>48</v>
      </c>
    </row>
    <row r="7" customFormat="false" ht="15" hidden="false" customHeight="false" outlineLevel="0" collapsed="false">
      <c r="A7" s="0" t="s">
        <v>49</v>
      </c>
      <c r="B7" s="13" t="n">
        <v>253.62</v>
      </c>
      <c r="C7" s="0" t="s">
        <v>50</v>
      </c>
      <c r="D7" s="7" t="s">
        <v>51</v>
      </c>
    </row>
    <row r="8" customFormat="false" ht="15" hidden="false" customHeight="false" outlineLevel="0" collapsed="false">
      <c r="A8" s="0" t="s">
        <v>52</v>
      </c>
      <c r="B8" s="13" t="n">
        <v>379.94</v>
      </c>
      <c r="C8" s="0" t="s">
        <v>50</v>
      </c>
      <c r="D8" s="7" t="s">
        <v>53</v>
      </c>
    </row>
    <row r="9" customFormat="false" ht="15" hidden="false" customHeight="false" outlineLevel="0" collapsed="false">
      <c r="A9" s="0" t="s">
        <v>54</v>
      </c>
      <c r="B9" s="14" t="n">
        <v>392.7</v>
      </c>
      <c r="C9" s="0" t="s">
        <v>55</v>
      </c>
      <c r="D9" s="7" t="s">
        <v>56</v>
      </c>
    </row>
    <row r="10" customFormat="false" ht="15" hidden="false" customHeight="false" outlineLevel="0" collapsed="false">
      <c r="A10" s="0" t="s">
        <v>57</v>
      </c>
      <c r="B10" s="14" t="n">
        <v>2810.6</v>
      </c>
      <c r="C10" s="0" t="s">
        <v>58</v>
      </c>
      <c r="D10" s="7" t="s">
        <v>59</v>
      </c>
    </row>
    <row r="11" customFormat="false" ht="15" hidden="false" customHeight="false" outlineLevel="0" collapsed="false">
      <c r="A11" s="0" t="s">
        <v>60</v>
      </c>
      <c r="B11" s="14" t="n">
        <v>300</v>
      </c>
      <c r="C11" s="0" t="s">
        <v>58</v>
      </c>
      <c r="D11" s="7" t="s">
        <v>59</v>
      </c>
    </row>
    <row r="12" customFormat="false" ht="15" hidden="false" customHeight="false" outlineLevel="0" collapsed="false">
      <c r="A12" s="0" t="s">
        <v>61</v>
      </c>
      <c r="B12" s="14" t="n">
        <v>2939.8</v>
      </c>
      <c r="C12" s="0" t="s">
        <v>58</v>
      </c>
      <c r="D12" s="7" t="s">
        <v>59</v>
      </c>
    </row>
    <row r="13" customFormat="false" ht="15" hidden="false" customHeight="false" outlineLevel="0" collapsed="false">
      <c r="A13" s="0" t="s">
        <v>62</v>
      </c>
      <c r="B13" s="13" t="n">
        <v>8.93</v>
      </c>
      <c r="C13" s="0" t="s">
        <v>50</v>
      </c>
      <c r="D13" s="7" t="s">
        <v>63</v>
      </c>
    </row>
    <row r="14" customFormat="false" ht="15" hidden="false" customHeight="false" outlineLevel="0" collapsed="false">
      <c r="A14" s="0" t="s">
        <v>64</v>
      </c>
      <c r="B14" s="15" t="n">
        <v>32.1</v>
      </c>
      <c r="C14" s="0" t="s">
        <v>65</v>
      </c>
      <c r="D14" s="7" t="s">
        <v>66</v>
      </c>
    </row>
    <row r="15" customFormat="false" ht="15" hidden="false" customHeight="false" outlineLevel="0" collapsed="false">
      <c r="A15" s="11" t="s">
        <v>67</v>
      </c>
    </row>
    <row r="16" customFormat="false" ht="15" hidden="false" customHeight="false" outlineLevel="0" collapsed="false">
      <c r="A16" s="0" t="s">
        <v>68</v>
      </c>
      <c r="B16" s="13" t="n">
        <v>8.01</v>
      </c>
      <c r="C16" s="0" t="s">
        <v>69</v>
      </c>
      <c r="D16" s="7" t="s">
        <v>70</v>
      </c>
    </row>
    <row r="17" customFormat="false" ht="15" hidden="false" customHeight="false" outlineLevel="0" collapsed="false">
      <c r="A17" s="0" t="s">
        <v>71</v>
      </c>
      <c r="B17" s="13" t="n">
        <v>10.23</v>
      </c>
      <c r="C17" s="0" t="s">
        <v>69</v>
      </c>
      <c r="D17" s="7" t="s">
        <v>72</v>
      </c>
    </row>
    <row r="18" customFormat="false" ht="15" hidden="false" customHeight="false" outlineLevel="0" collapsed="false">
      <c r="A18" s="0" t="s">
        <v>73</v>
      </c>
      <c r="B18" s="16" t="n">
        <v>0.194</v>
      </c>
      <c r="C18" s="0" t="s">
        <v>74</v>
      </c>
      <c r="D18" s="7" t="s">
        <v>75</v>
      </c>
    </row>
    <row r="19" customFormat="false" ht="15" hidden="false" customHeight="false" outlineLevel="0" collapsed="false">
      <c r="A19" s="0" t="s">
        <v>76</v>
      </c>
      <c r="B19" s="16" t="n">
        <v>0.204</v>
      </c>
      <c r="C19" s="0" t="s">
        <v>74</v>
      </c>
      <c r="D19" s="7" t="s">
        <v>75</v>
      </c>
    </row>
    <row r="20" customFormat="false" ht="15" hidden="false" customHeight="false" outlineLevel="0" collapsed="false">
      <c r="A20" s="0" t="s">
        <v>77</v>
      </c>
      <c r="B20" s="13" t="n">
        <v>2.85</v>
      </c>
      <c r="C20" s="0" t="s">
        <v>50</v>
      </c>
      <c r="D20" s="7" t="s">
        <v>78</v>
      </c>
    </row>
    <row r="21" customFormat="false" ht="15" hidden="false" customHeight="false" outlineLevel="0" collapsed="false">
      <c r="A21" s="0" t="s">
        <v>79</v>
      </c>
      <c r="B21" s="13" t="n">
        <v>4.2</v>
      </c>
      <c r="C21" s="0" t="s">
        <v>50</v>
      </c>
      <c r="D21" s="7" t="s">
        <v>80</v>
      </c>
    </row>
    <row r="22" customFormat="false" ht="15" hidden="false" customHeight="false" outlineLevel="0" collapsed="false">
      <c r="A22" s="11" t="s">
        <v>81</v>
      </c>
    </row>
    <row r="23" customFormat="false" ht="15" hidden="false" customHeight="false" outlineLevel="0" collapsed="false">
      <c r="A23" s="0" t="s">
        <v>82</v>
      </c>
      <c r="B23" s="13" t="n">
        <v>13.8</v>
      </c>
      <c r="C23" s="0" t="s">
        <v>69</v>
      </c>
      <c r="D23" s="7" t="s">
        <v>83</v>
      </c>
    </row>
    <row r="24" customFormat="false" ht="15" hidden="false" customHeight="false" outlineLevel="0" collapsed="false">
      <c r="A24" s="0" t="s">
        <v>84</v>
      </c>
      <c r="B24" s="13" t="n">
        <v>14.2</v>
      </c>
      <c r="C24" s="0" t="s">
        <v>69</v>
      </c>
      <c r="D24" s="7" t="s">
        <v>85</v>
      </c>
    </row>
    <row r="25" customFormat="false" ht="15" hidden="false" customHeight="false" outlineLevel="0" collapsed="false">
      <c r="A25" s="0" t="s">
        <v>86</v>
      </c>
      <c r="B25" s="16" t="n">
        <v>0.233</v>
      </c>
      <c r="C25" s="0" t="s">
        <v>74</v>
      </c>
      <c r="D25" s="7" t="s">
        <v>85</v>
      </c>
    </row>
    <row r="26" customFormat="false" ht="15" hidden="false" customHeight="false" outlineLevel="0" collapsed="false">
      <c r="A26" s="0" t="s">
        <v>87</v>
      </c>
      <c r="B26" s="16" t="n">
        <v>0.243</v>
      </c>
      <c r="C26" s="0" t="s">
        <v>74</v>
      </c>
      <c r="D26" s="7" t="s">
        <v>85</v>
      </c>
    </row>
    <row r="27" customFormat="false" ht="15" hidden="false" customHeight="false" outlineLevel="0" collapsed="false">
      <c r="A27" s="0" t="s">
        <v>88</v>
      </c>
      <c r="B27" s="13" t="n">
        <v>6.65</v>
      </c>
      <c r="C27" s="0" t="s">
        <v>50</v>
      </c>
      <c r="D27" s="7" t="s">
        <v>89</v>
      </c>
    </row>
    <row r="28" customFormat="false" ht="15" hidden="false" customHeight="false" outlineLevel="0" collapsed="false">
      <c r="A28" s="0" t="s">
        <v>90</v>
      </c>
      <c r="B28" s="13" t="n">
        <v>6.75</v>
      </c>
      <c r="C28" s="0" t="s">
        <v>50</v>
      </c>
      <c r="D28" s="7" t="s">
        <v>85</v>
      </c>
    </row>
    <row r="29" customFormat="false" ht="15" hidden="false" customHeight="false" outlineLevel="0" collapsed="false">
      <c r="A29" s="0" t="s">
        <v>91</v>
      </c>
      <c r="B29" s="13" t="n">
        <v>3.325</v>
      </c>
      <c r="C29" s="0" t="s">
        <v>69</v>
      </c>
      <c r="D29" s="7" t="s">
        <v>92</v>
      </c>
    </row>
    <row r="30" customFormat="false" ht="15" hidden="false" customHeight="false" outlineLevel="0" collapsed="false">
      <c r="A30" s="0" t="s">
        <v>93</v>
      </c>
      <c r="B30" s="13" t="n">
        <v>6.35</v>
      </c>
      <c r="C30" s="0" t="s">
        <v>50</v>
      </c>
      <c r="D30" s="7" t="s">
        <v>94</v>
      </c>
    </row>
    <row r="31" customFormat="false" ht="15" hidden="false" customHeight="false" outlineLevel="0" collapsed="false">
      <c r="A31" s="11" t="s">
        <v>95</v>
      </c>
    </row>
    <row r="32" customFormat="false" ht="15" hidden="false" customHeight="false" outlineLevel="0" collapsed="false">
      <c r="A32" s="0" t="s">
        <v>96</v>
      </c>
      <c r="B32" s="17" t="n">
        <v>0.21</v>
      </c>
      <c r="C32" s="0" t="s">
        <v>74</v>
      </c>
      <c r="D32" s="7" t="s">
        <v>97</v>
      </c>
    </row>
    <row r="33" customFormat="false" ht="15" hidden="false" customHeight="false" outlineLevel="0" collapsed="false">
      <c r="A33" s="0" t="s">
        <v>98</v>
      </c>
      <c r="B33" s="17" t="n">
        <v>0.2</v>
      </c>
      <c r="C33" s="0" t="s">
        <v>74</v>
      </c>
      <c r="D33" s="7" t="s">
        <v>99</v>
      </c>
    </row>
    <row r="34" customFormat="false" ht="23.85" hidden="false" customHeight="false" outlineLevel="0" collapsed="false">
      <c r="A34" s="0" t="s">
        <v>100</v>
      </c>
      <c r="B34" s="17" t="n">
        <v>0.25</v>
      </c>
      <c r="C34" s="0" t="s">
        <v>74</v>
      </c>
      <c r="D34" s="7" t="s">
        <v>101</v>
      </c>
    </row>
    <row r="35" customFormat="false" ht="15" hidden="false" customHeight="false" outlineLevel="0" collapsed="false">
      <c r="A35" s="0" t="s">
        <v>102</v>
      </c>
      <c r="B35" s="17" t="n">
        <v>0.26</v>
      </c>
      <c r="C35" s="0" t="s">
        <v>74</v>
      </c>
      <c r="D35" s="7" t="s">
        <v>99</v>
      </c>
    </row>
    <row r="36" customFormat="false" ht="15" hidden="false" customHeight="false" outlineLevel="0" collapsed="false">
      <c r="A36" s="0" t="s">
        <v>103</v>
      </c>
      <c r="B36" s="18" t="n">
        <v>28</v>
      </c>
      <c r="C36" s="0" t="s">
        <v>65</v>
      </c>
      <c r="D36" s="7" t="s">
        <v>104</v>
      </c>
    </row>
    <row r="37" customFormat="false" ht="15" hidden="false" customHeight="false" outlineLevel="0" collapsed="false">
      <c r="A37" s="0" t="s">
        <v>105</v>
      </c>
      <c r="B37" s="13" t="n">
        <v>10</v>
      </c>
      <c r="C37" s="0" t="s">
        <v>50</v>
      </c>
      <c r="D37" s="7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1" t="s">
        <v>107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108</v>
      </c>
      <c r="C4" s="4" t="s">
        <v>109</v>
      </c>
      <c r="D4" s="4" t="s">
        <v>110</v>
      </c>
      <c r="E4" s="4" t="s">
        <v>111</v>
      </c>
      <c r="F4" s="4" t="s">
        <v>112</v>
      </c>
    </row>
    <row r="5" customFormat="false" ht="15" hidden="false" customHeight="false" outlineLevel="0" collapsed="false">
      <c r="A5" s="5" t="s">
        <v>113</v>
      </c>
      <c r="B5" s="19" t="n">
        <f aca="false">Assumptions!$B$16</f>
        <v>8.01</v>
      </c>
      <c r="C5" s="19" t="n">
        <f aca="false">Assumptions!$B$17</f>
        <v>10.23</v>
      </c>
      <c r="D5" s="20" t="n">
        <f aca="false">AVERAGE(Assumptions!$B$23,Assumptions!$B$24)</f>
        <v>14</v>
      </c>
      <c r="E5" s="20" t="n">
        <f aca="false">D5*(1+Assumptions!$B$32)</f>
        <v>16.94</v>
      </c>
      <c r="F5" s="20" t="n">
        <f aca="false">E5*(1+Assumptions!$B$33)</f>
        <v>20.328</v>
      </c>
    </row>
    <row r="6" customFormat="false" ht="15" hidden="false" customHeight="false" outlineLevel="0" collapsed="false">
      <c r="A6" s="21" t="s">
        <v>114</v>
      </c>
      <c r="B6" s="22"/>
      <c r="C6" s="22" t="n">
        <f aca="false">C5/B5-1</f>
        <v>0.277153558052434</v>
      </c>
      <c r="D6" s="22" t="n">
        <f aca="false">D5/C5-1</f>
        <v>0.36852394916911</v>
      </c>
      <c r="E6" s="22" t="n">
        <f aca="false">E5/D5-1</f>
        <v>0.21</v>
      </c>
      <c r="F6" s="22" t="n">
        <f aca="false">F5/E5-1</f>
        <v>0.2</v>
      </c>
    </row>
    <row r="7" customFormat="false" ht="15" hidden="false" customHeight="false" outlineLevel="0" collapsed="false">
      <c r="A7" s="21" t="s">
        <v>115</v>
      </c>
      <c r="B7" s="9" t="n">
        <f aca="false">Assumptions!$B$18</f>
        <v>0.194</v>
      </c>
      <c r="C7" s="9" t="n">
        <f aca="false">Assumptions!$B$19</f>
        <v>0.204</v>
      </c>
      <c r="D7" s="22" t="n">
        <f aca="false">AVERAGE(Assumptions!$B$25,Assumptions!$B$26)</f>
        <v>0.238</v>
      </c>
      <c r="E7" s="9" t="n">
        <f aca="false">Assumptions!$B$34</f>
        <v>0.25</v>
      </c>
      <c r="F7" s="9" t="n">
        <f aca="false">Assumptions!$B$35</f>
        <v>0.26</v>
      </c>
    </row>
    <row r="8" customFormat="false" ht="15" hidden="false" customHeight="false" outlineLevel="0" collapsed="false">
      <c r="A8" s="5" t="s">
        <v>116</v>
      </c>
      <c r="B8" s="20" t="n">
        <f aca="false">B5*B7</f>
        <v>1.55394</v>
      </c>
      <c r="C8" s="20" t="n">
        <f aca="false">C5*C7</f>
        <v>2.08692</v>
      </c>
      <c r="D8" s="19" t="n">
        <f aca="false">Assumptions!$B$29</f>
        <v>3.325</v>
      </c>
      <c r="E8" s="20" t="n">
        <f aca="false">E5*E7</f>
        <v>4.235</v>
      </c>
      <c r="F8" s="20" t="n">
        <f aca="false">F5*F7</f>
        <v>5.28528</v>
      </c>
    </row>
    <row r="9" customFormat="false" ht="15" hidden="false" customHeight="false" outlineLevel="0" collapsed="false">
      <c r="A9" s="21" t="s">
        <v>117</v>
      </c>
      <c r="B9" s="23"/>
      <c r="C9" s="23"/>
      <c r="D9" s="23" t="n">
        <f aca="false">AVERAGE(Assumptions!$B$27,Assumptions!$B$28)/D8</f>
        <v>2.01503759398496</v>
      </c>
      <c r="E9" s="23" t="n">
        <f aca="false">D9</f>
        <v>2.01503759398496</v>
      </c>
      <c r="F9" s="23" t="n">
        <f aca="false">E9</f>
        <v>2.01503759398496</v>
      </c>
    </row>
    <row r="10" customFormat="false" ht="15" hidden="false" customHeight="false" outlineLevel="0" collapsed="false">
      <c r="A10" s="5" t="s">
        <v>118</v>
      </c>
      <c r="B10" s="8" t="n">
        <f aca="false">Assumptions!$B$20</f>
        <v>2.85</v>
      </c>
      <c r="C10" s="8" t="n">
        <f aca="false">Assumptions!$B$21</f>
        <v>4.2</v>
      </c>
      <c r="D10" s="24" t="n">
        <f aca="false">AVERAGE(Assumptions!$B$27,Assumptions!$B$28)</f>
        <v>6.7</v>
      </c>
      <c r="E10" s="24" t="n">
        <f aca="false">E8*E9</f>
        <v>8.53368421052632</v>
      </c>
      <c r="F10" s="24" t="n">
        <f aca="false">F8*F9</f>
        <v>10.6500378947368</v>
      </c>
    </row>
    <row r="11" customFormat="false" ht="15" hidden="false" customHeight="false" outlineLevel="0" collapsed="false">
      <c r="A11" s="21" t="s">
        <v>119</v>
      </c>
      <c r="B11" s="22"/>
      <c r="C11" s="22" t="n">
        <f aca="false">C10/B10-1</f>
        <v>0.473684210526316</v>
      </c>
      <c r="D11" s="22" t="n">
        <f aca="false">D10/C10-1</f>
        <v>0.595238095238095</v>
      </c>
      <c r="E11" s="22" t="n">
        <f aca="false">E10/D10-1</f>
        <v>0.273684210526316</v>
      </c>
      <c r="F11" s="22" t="n">
        <f aca="false">F10/E10-1</f>
        <v>0.248</v>
      </c>
    </row>
    <row r="12" customFormat="false" ht="15" hidden="false" customHeight="false" outlineLevel="0" collapsed="false">
      <c r="A12" s="21" t="s">
        <v>120</v>
      </c>
      <c r="B12" s="25"/>
      <c r="C12" s="25"/>
      <c r="D12" s="26" t="n">
        <f aca="false">Assumptions!$B$7/D10</f>
        <v>37.8537313432836</v>
      </c>
      <c r="E12" s="26" t="n">
        <f aca="false">Assumptions!$B$7/E10</f>
        <v>29.7198717158012</v>
      </c>
      <c r="F12" s="26" t="n">
        <f aca="false">Assumptions!$B$7/F10</f>
        <v>23.8139997722766</v>
      </c>
    </row>
    <row r="14" customFormat="false" ht="15" hidden="false" customHeight="false" outlineLevel="0" collapsed="false">
      <c r="A14" s="12" t="s">
        <v>121</v>
      </c>
    </row>
    <row r="15" customFormat="false" ht="15" hidden="false" customHeight="false" outlineLevel="0" collapsed="false">
      <c r="A15" s="12" t="s">
        <v>122</v>
      </c>
    </row>
    <row r="16" customFormat="false" ht="15" hidden="false" customHeight="false" outlineLevel="0" collapsed="false">
      <c r="A16" s="12" t="s">
        <v>123</v>
      </c>
    </row>
    <row r="17" customFormat="false" ht="15" hidden="false" customHeight="false" outlineLevel="0" collapsed="false">
      <c r="A17" s="12" t="s">
        <v>124</v>
      </c>
    </row>
    <row r="18" customFormat="false" ht="15" hidden="false" customHeight="false" outlineLevel="0" collapsed="false">
      <c r="A18" s="12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126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127</v>
      </c>
      <c r="B4" s="4" t="s">
        <v>3</v>
      </c>
      <c r="C4" s="4" t="s">
        <v>128</v>
      </c>
    </row>
    <row r="5" customFormat="false" ht="15" hidden="false" customHeight="false" outlineLevel="0" collapsed="false">
      <c r="A5" s="0" t="s">
        <v>129</v>
      </c>
      <c r="B5" s="27" t="n">
        <f aca="false">Financials!F10</f>
        <v>10.6500378947368</v>
      </c>
      <c r="C5" s="7" t="s">
        <v>130</v>
      </c>
    </row>
    <row r="6" customFormat="false" ht="15" hidden="false" customHeight="false" outlineLevel="0" collapsed="false">
      <c r="A6" s="0" t="s">
        <v>131</v>
      </c>
      <c r="B6" s="28" t="n">
        <f aca="false">Assumptions!$B$36</f>
        <v>28</v>
      </c>
      <c r="C6" s="7" t="s">
        <v>132</v>
      </c>
    </row>
    <row r="7" customFormat="false" ht="15" hidden="false" customHeight="false" outlineLevel="0" collapsed="false">
      <c r="A7" s="0" t="s">
        <v>133</v>
      </c>
      <c r="B7" s="27" t="n">
        <f aca="false">B5*B6</f>
        <v>298.201061052632</v>
      </c>
      <c r="C7" s="7" t="s">
        <v>134</v>
      </c>
    </row>
    <row r="8" customFormat="false" ht="15" hidden="false" customHeight="false" outlineLevel="0" collapsed="false">
      <c r="A8" s="5" t="s">
        <v>135</v>
      </c>
      <c r="B8" s="29" t="n">
        <f aca="false">ROUND(B7/Assumptions!$B$37,0)*Assumptions!$B$37</f>
        <v>300</v>
      </c>
      <c r="C8" s="7" t="s">
        <v>136</v>
      </c>
    </row>
    <row r="9" customFormat="false" ht="15" hidden="false" customHeight="false" outlineLevel="0" collapsed="false">
      <c r="A9" s="0" t="s">
        <v>9</v>
      </c>
      <c r="B9" s="27" t="n">
        <f aca="false">Assumptions!$B$7</f>
        <v>253.62</v>
      </c>
      <c r="C9" s="7" t="s">
        <v>10</v>
      </c>
    </row>
    <row r="10" customFormat="false" ht="15" hidden="false" customHeight="false" outlineLevel="0" collapsed="false">
      <c r="A10" s="0" t="s">
        <v>11</v>
      </c>
      <c r="B10" s="30" t="n">
        <f aca="false">B8/B9-1</f>
        <v>0.182872013248167</v>
      </c>
      <c r="C10" s="7" t="s">
        <v>137</v>
      </c>
    </row>
    <row r="11" customFormat="false" ht="15" hidden="false" customHeight="false" outlineLevel="0" collapsed="false">
      <c r="A11" s="0" t="s">
        <v>138</v>
      </c>
      <c r="B11" s="30" t="n">
        <f aca="false">B7/B9-1</f>
        <v>0.175778964800219</v>
      </c>
      <c r="C11" s="7"/>
    </row>
    <row r="12" customFormat="false" ht="23.85" hidden="false" customHeight="false" outlineLevel="0" collapsed="false">
      <c r="A12" s="5" t="s">
        <v>139</v>
      </c>
      <c r="B12" s="31" t="str">
        <f aca="false">IF(B10&gt;0,"LONG","NO CALL")</f>
        <v>LONG</v>
      </c>
      <c r="C12" s="7" t="s">
        <v>140</v>
      </c>
    </row>
    <row r="13" customFormat="false" ht="15" hidden="false" customHeight="false" outlineLevel="0" collapsed="false">
      <c r="C13" s="7"/>
    </row>
    <row r="14" customFormat="false" ht="15" hidden="false" customHeight="false" outlineLevel="0" collapsed="false">
      <c r="A14" s="0" t="s">
        <v>141</v>
      </c>
      <c r="B14" s="32" t="n">
        <f aca="false">Assumptions!$B$9*Assumptions!$B$7/1000</f>
        <v>99.596574</v>
      </c>
      <c r="C14" s="7" t="s">
        <v>142</v>
      </c>
    </row>
    <row r="15" customFormat="false" ht="15" hidden="false" customHeight="false" outlineLevel="0" collapsed="false">
      <c r="A15" s="0" t="s">
        <v>143</v>
      </c>
      <c r="B15" s="33" t="n">
        <f aca="false">Assumptions!$B$10+Assumptions!$B$11-Assumptions!$B$12</f>
        <v>170.8</v>
      </c>
      <c r="C15" s="7" t="s">
        <v>144</v>
      </c>
    </row>
    <row r="16" customFormat="false" ht="15" hidden="false" customHeight="false" outlineLevel="0" collapsed="false">
      <c r="A16" s="0" t="s">
        <v>145</v>
      </c>
      <c r="B16" s="32" t="n">
        <f aca="false">B14-B15/1000</f>
        <v>99.425774</v>
      </c>
      <c r="C16" s="7" t="s">
        <v>146</v>
      </c>
    </row>
    <row r="17" customFormat="false" ht="15" hidden="false" customHeight="false" outlineLevel="0" collapsed="false">
      <c r="C17" s="7"/>
    </row>
    <row r="18" customFormat="false" ht="15" hidden="false" customHeight="false" outlineLevel="0" collapsed="false">
      <c r="A18" s="0" t="s">
        <v>147</v>
      </c>
      <c r="B18" s="34" t="n">
        <f aca="false">Assumptions!$B$7/Financials!D10</f>
        <v>37.8537313432836</v>
      </c>
      <c r="C18" s="7" t="s">
        <v>148</v>
      </c>
    </row>
    <row r="19" customFormat="false" ht="15" hidden="false" customHeight="false" outlineLevel="0" collapsed="false">
      <c r="A19" s="0" t="s">
        <v>149</v>
      </c>
      <c r="B19" s="34" t="n">
        <f aca="false">Assumptions!$B$7/Assumptions!$B$13</f>
        <v>28.4008958566629</v>
      </c>
      <c r="C19" s="7" t="s">
        <v>150</v>
      </c>
    </row>
    <row r="20" customFormat="false" ht="15" hidden="false" customHeight="false" outlineLevel="0" collapsed="false">
      <c r="A20" s="0" t="s">
        <v>151</v>
      </c>
      <c r="B20" s="34" t="n">
        <f aca="false">Assumptions!$B$7/Financials!E10</f>
        <v>29.7198717158012</v>
      </c>
      <c r="C20" s="7" t="s">
        <v>152</v>
      </c>
    </row>
    <row r="21" customFormat="false" ht="15" hidden="false" customHeight="false" outlineLevel="0" collapsed="false">
      <c r="A21" s="0" t="s">
        <v>153</v>
      </c>
      <c r="B21" s="34" t="n">
        <f aca="false">Assumptions!$B$7/Financials!F10</f>
        <v>23.8139997722766</v>
      </c>
      <c r="C21" s="7" t="s">
        <v>154</v>
      </c>
    </row>
    <row r="22" customFormat="false" ht="15" hidden="false" customHeight="false" outlineLevel="0" collapsed="false">
      <c r="A22" s="0" t="s">
        <v>155</v>
      </c>
      <c r="B22" s="30" t="n">
        <f aca="false">Financials!E10/Assumptions!$B$13-1</f>
        <v>-0.0443802675782401</v>
      </c>
      <c r="C22" s="7" t="s">
        <v>156</v>
      </c>
    </row>
    <row r="23" customFormat="false" ht="15" hidden="false" customHeight="false" outlineLevel="0" collapsed="false">
      <c r="A23" s="0" t="s">
        <v>157</v>
      </c>
      <c r="B23" s="34" t="n">
        <f aca="false">Assumptions!$B$8/Assumptions!$B$30</f>
        <v>59.8330708661417</v>
      </c>
      <c r="C23" s="7" t="s">
        <v>158</v>
      </c>
    </row>
    <row r="24" customFormat="false" ht="15" hidden="false" customHeight="false" outlineLevel="0" collapsed="false">
      <c r="A24" s="0" t="s">
        <v>159</v>
      </c>
      <c r="B24" s="34" t="n">
        <f aca="false">B8/Financials!E10</f>
        <v>35.154804489947</v>
      </c>
      <c r="C24" s="7" t="s">
        <v>160</v>
      </c>
    </row>
    <row r="25" customFormat="false" ht="15" hidden="false" customHeight="false" outlineLevel="0" collapsed="false">
      <c r="A25" s="0" t="s">
        <v>161</v>
      </c>
      <c r="B25" s="30" t="n">
        <f aca="false">Assumptions!$B$14/Peers!C6-1</f>
        <v>0.116521739130435</v>
      </c>
      <c r="C25" s="7" t="s">
        <v>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9" min="1" style="0" width="12"/>
    <col collapsed="false" customWidth="true" hidden="false" outlineLevel="0" max="10" min="10" style="0" width="13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1" t="s">
        <v>163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164</v>
      </c>
      <c r="B4" s="4" t="s">
        <v>165</v>
      </c>
      <c r="C4" s="4" t="s">
        <v>166</v>
      </c>
      <c r="D4" s="4" t="s">
        <v>167</v>
      </c>
      <c r="E4" s="4" t="s">
        <v>168</v>
      </c>
      <c r="F4" s="4" t="s">
        <v>169</v>
      </c>
      <c r="G4" s="4" t="s">
        <v>170</v>
      </c>
      <c r="H4" s="4" t="s">
        <v>171</v>
      </c>
      <c r="I4" s="4" t="s">
        <v>172</v>
      </c>
      <c r="J4" s="4" t="s">
        <v>173</v>
      </c>
      <c r="K4" s="4" t="s">
        <v>174</v>
      </c>
    </row>
    <row r="5" customFormat="false" ht="15" hidden="false" customHeight="false" outlineLevel="0" collapsed="false">
      <c r="A5" s="5" t="s">
        <v>175</v>
      </c>
      <c r="B5" s="17" t="n">
        <v>0.11</v>
      </c>
      <c r="C5" s="17" t="n">
        <v>0.11</v>
      </c>
      <c r="D5" s="17" t="n">
        <v>0.235</v>
      </c>
      <c r="E5" s="32" t="n">
        <f aca="false">Financials!$D$5*(1+B5)</f>
        <v>15.54</v>
      </c>
      <c r="F5" s="32" t="n">
        <f aca="false">E5*(1+C5)</f>
        <v>17.2494</v>
      </c>
      <c r="G5" s="32" t="n">
        <f aca="false">F5*D5</f>
        <v>4.053609</v>
      </c>
      <c r="H5" s="27" t="n">
        <f aca="false">G5*Financials!$E$9</f>
        <v>8.16817452631579</v>
      </c>
      <c r="I5" s="18" t="n">
        <v>22</v>
      </c>
      <c r="J5" s="27" t="n">
        <f aca="false">H5*I5</f>
        <v>179.699839578947</v>
      </c>
      <c r="K5" s="35" t="n">
        <f aca="false">J5/Assumptions!$B$7-1</f>
        <v>-0.291460296589593</v>
      </c>
    </row>
    <row r="6" customFormat="false" ht="15" hidden="false" customHeight="false" outlineLevel="0" collapsed="false">
      <c r="A6" s="5" t="s">
        <v>176</v>
      </c>
      <c r="B6" s="36" t="n">
        <f aca="false">Assumptions!$B$32</f>
        <v>0.21</v>
      </c>
      <c r="C6" s="36" t="n">
        <f aca="false">Assumptions!$B$33</f>
        <v>0.2</v>
      </c>
      <c r="D6" s="36" t="n">
        <f aca="false">Assumptions!$B$35</f>
        <v>0.26</v>
      </c>
      <c r="E6" s="32" t="n">
        <f aca="false">Financials!$D$5*(1+B6)</f>
        <v>16.94</v>
      </c>
      <c r="F6" s="32" t="n">
        <f aca="false">E6*(1+C6)</f>
        <v>20.328</v>
      </c>
      <c r="G6" s="32" t="n">
        <f aca="false">F6*D6</f>
        <v>5.28528</v>
      </c>
      <c r="H6" s="27" t="n">
        <f aca="false">G6*Financials!$E$9</f>
        <v>10.6500378947368</v>
      </c>
      <c r="I6" s="37" t="n">
        <f aca="false">Assumptions!$B$36</f>
        <v>28</v>
      </c>
      <c r="J6" s="27" t="n">
        <f aca="false">H6*I6</f>
        <v>298.201061052632</v>
      </c>
      <c r="K6" s="35" t="n">
        <f aca="false">J6/Assumptions!$B$7-1</f>
        <v>0.175778964800219</v>
      </c>
    </row>
    <row r="7" customFormat="false" ht="15" hidden="false" customHeight="false" outlineLevel="0" collapsed="false">
      <c r="A7" s="5" t="s">
        <v>177</v>
      </c>
      <c r="B7" s="17" t="n">
        <v>0.23</v>
      </c>
      <c r="C7" s="17" t="n">
        <v>0.23</v>
      </c>
      <c r="D7" s="17" t="n">
        <v>0.27</v>
      </c>
      <c r="E7" s="32" t="n">
        <f aca="false">Financials!$D$5*(1+B7)</f>
        <v>17.22</v>
      </c>
      <c r="F7" s="32" t="n">
        <f aca="false">E7*(1+C7)</f>
        <v>21.1806</v>
      </c>
      <c r="G7" s="32" t="n">
        <f aca="false">F7*D7</f>
        <v>5.718762</v>
      </c>
      <c r="H7" s="27" t="n">
        <f aca="false">G7*Financials!$E$9</f>
        <v>11.5235204210526</v>
      </c>
      <c r="I7" s="18" t="n">
        <v>34</v>
      </c>
      <c r="J7" s="27" t="n">
        <f aca="false">H7*I7</f>
        <v>391.79969431579</v>
      </c>
      <c r="K7" s="35" t="n">
        <f aca="false">J7/Assumptions!$B$7-1</f>
        <v>0.54482964401778</v>
      </c>
    </row>
    <row r="8" customFormat="false" ht="15" hidden="false" customHeight="false" outlineLevel="0" collapsed="false">
      <c r="B8" s="5" t="s">
        <v>175</v>
      </c>
      <c r="C8" s="5" t="s">
        <v>176</v>
      </c>
      <c r="D8" s="5" t="s">
        <v>177</v>
      </c>
    </row>
    <row r="9" customFormat="false" ht="15" hidden="false" customHeight="false" outlineLevel="0" collapsed="false">
      <c r="A9" s="5" t="s">
        <v>178</v>
      </c>
      <c r="B9" s="38" t="n">
        <v>0.25</v>
      </c>
      <c r="C9" s="38" t="n">
        <v>0.5</v>
      </c>
      <c r="D9" s="38" t="n">
        <v>0.25</v>
      </c>
      <c r="E9" s="35" t="n">
        <f aca="false">SUM(B9:D9)</f>
        <v>1</v>
      </c>
      <c r="F9" s="12" t="s">
        <v>179</v>
      </c>
    </row>
    <row r="11" customFormat="false" ht="15" hidden="false" customHeight="false" outlineLevel="0" collapsed="false">
      <c r="A11" s="5" t="s">
        <v>19</v>
      </c>
      <c r="E11" s="29" t="n">
        <f aca="false">B9*J5+C9*J6+D9*J7</f>
        <v>291.975414</v>
      </c>
      <c r="F11" s="30" t="n">
        <f aca="false">E11/Assumptions!$B$7-1</f>
        <v>0.151231819257156</v>
      </c>
    </row>
    <row r="14" customFormat="false" ht="15" hidden="false" customHeight="false" outlineLevel="0" collapsed="false">
      <c r="A14" s="12" t="s">
        <v>180</v>
      </c>
    </row>
    <row r="15" customFormat="false" ht="15" hidden="false" customHeight="false" outlineLevel="0" collapsed="false">
      <c r="A15" s="12" t="s">
        <v>181</v>
      </c>
    </row>
    <row r="16" customFormat="false" ht="15" hidden="false" customHeight="false" outlineLevel="0" collapsed="false">
      <c r="A16" s="12" t="s">
        <v>182</v>
      </c>
    </row>
    <row r="17" customFormat="false" ht="15" hidden="false" customHeight="false" outlineLevel="0" collapsed="false">
      <c r="A17" s="12" t="s">
        <v>183</v>
      </c>
    </row>
    <row r="18" customFormat="false" ht="15" hidden="false" customHeight="false" outlineLevel="0" collapsed="false">
      <c r="A18" s="12" t="s">
        <v>184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185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186</v>
      </c>
      <c r="B4" s="39" t="n">
        <v>24</v>
      </c>
      <c r="C4" s="39" t="n">
        <f aca="false">Assumptions!$B$36</f>
        <v>28</v>
      </c>
      <c r="D4" s="39" t="n">
        <v>32</v>
      </c>
    </row>
    <row r="5" customFormat="false" ht="15" hidden="false" customHeight="false" outlineLevel="0" collapsed="false">
      <c r="A5" s="40" t="n">
        <v>9.5</v>
      </c>
      <c r="B5" s="41" t="n">
        <f aca="false">$A5*B$4</f>
        <v>228</v>
      </c>
      <c r="C5" s="41" t="n">
        <f aca="false">$A5*C$4</f>
        <v>266</v>
      </c>
      <c r="D5" s="41" t="n">
        <f aca="false">$A5*D$4</f>
        <v>304</v>
      </c>
    </row>
    <row r="6" customFormat="false" ht="15" hidden="false" customHeight="false" outlineLevel="0" collapsed="false">
      <c r="A6" s="42" t="n">
        <f aca="false">Financials!F10</f>
        <v>10.6500378947368</v>
      </c>
      <c r="B6" s="43" t="n">
        <f aca="false">$A6*B$4</f>
        <v>255.600909473684</v>
      </c>
      <c r="C6" s="44" t="n">
        <f aca="false">$A6*C$4</f>
        <v>298.201061052632</v>
      </c>
      <c r="D6" s="41" t="n">
        <f aca="false">$A6*D$4</f>
        <v>340.801212631579</v>
      </c>
    </row>
    <row r="7" customFormat="false" ht="15" hidden="false" customHeight="false" outlineLevel="0" collapsed="false">
      <c r="A7" s="40" t="n">
        <v>11.5</v>
      </c>
      <c r="B7" s="41" t="n">
        <f aca="false">$A7*B$4</f>
        <v>276</v>
      </c>
      <c r="C7" s="41" t="n">
        <f aca="false">$A7*C$4</f>
        <v>322</v>
      </c>
      <c r="D7" s="41" t="n">
        <f aca="false">$A7*D$4</f>
        <v>368</v>
      </c>
    </row>
    <row r="9" customFormat="false" ht="15" hidden="false" customHeight="false" outlineLevel="0" collapsed="false">
      <c r="A9" s="5" t="s">
        <v>187</v>
      </c>
      <c r="B9" s="0" t="n">
        <f aca="false">COUNTIF(B5:D7,"&gt;"&amp;Assumptions!$B$7)</f>
        <v>8</v>
      </c>
      <c r="C9" s="0" t="s">
        <v>188</v>
      </c>
    </row>
    <row r="11" customFormat="false" ht="15" hidden="false" customHeight="false" outlineLevel="0" collapsed="false">
      <c r="A11" s="12" t="s">
        <v>189</v>
      </c>
    </row>
    <row r="12" customFormat="false" ht="15" hidden="false" customHeight="false" outlineLevel="0" collapsed="false">
      <c r="A12" s="12" t="s">
        <v>190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11" min="2" style="0" width="10"/>
  </cols>
  <sheetData>
    <row r="1" customFormat="false" ht="15" hidden="false" customHeight="false" outlineLevel="0" collapsed="false">
      <c r="A1" s="1" t="s">
        <v>191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192</v>
      </c>
      <c r="B4" s="4" t="s">
        <v>193</v>
      </c>
      <c r="C4" s="4" t="s">
        <v>194</v>
      </c>
      <c r="D4" s="4" t="s">
        <v>195</v>
      </c>
      <c r="E4" s="4" t="s">
        <v>196</v>
      </c>
      <c r="F4" s="4" t="s">
        <v>197</v>
      </c>
      <c r="G4" s="4" t="s">
        <v>198</v>
      </c>
      <c r="H4" s="4" t="s">
        <v>199</v>
      </c>
      <c r="I4" s="4" t="s">
        <v>200</v>
      </c>
      <c r="J4" s="4" t="s">
        <v>201</v>
      </c>
      <c r="K4" s="4" t="s">
        <v>202</v>
      </c>
    </row>
    <row r="5" customFormat="false" ht="15" hidden="false" customHeight="false" outlineLevel="0" collapsed="false">
      <c r="A5" s="5" t="s">
        <v>113</v>
      </c>
      <c r="B5" s="45" t="n">
        <v>1.64</v>
      </c>
      <c r="C5" s="45" t="n">
        <v>1.95</v>
      </c>
      <c r="D5" s="45" t="n">
        <v>2.07</v>
      </c>
      <c r="E5" s="45" t="n">
        <v>2.35</v>
      </c>
      <c r="F5" s="45" t="n">
        <v>2.04</v>
      </c>
      <c r="G5" s="45" t="n">
        <v>2.64</v>
      </c>
      <c r="H5" s="45" t="n">
        <v>2.68</v>
      </c>
      <c r="I5" s="45" t="n">
        <v>2.88</v>
      </c>
      <c r="J5" s="45" t="n">
        <v>2.65</v>
      </c>
      <c r="K5" s="45" t="n">
        <v>3.27</v>
      </c>
    </row>
    <row r="6" customFormat="false" ht="15" hidden="false" customHeight="false" outlineLevel="0" collapsed="false">
      <c r="A6" s="21" t="s">
        <v>203</v>
      </c>
      <c r="B6" s="22"/>
      <c r="C6" s="22"/>
      <c r="D6" s="22"/>
      <c r="E6" s="22"/>
      <c r="F6" s="22" t="n">
        <f aca="false">F5/B5-1</f>
        <v>0.24390243902439</v>
      </c>
      <c r="G6" s="22" t="n">
        <f aca="false">G5/C5-1</f>
        <v>0.353846153846154</v>
      </c>
      <c r="H6" s="22" t="n">
        <f aca="false">H5/D5-1</f>
        <v>0.294685990338164</v>
      </c>
      <c r="I6" s="22" t="n">
        <f aca="false">I5/E5-1</f>
        <v>0.225531914893617</v>
      </c>
      <c r="J6" s="22" t="n">
        <f aca="false">J5/F5-1</f>
        <v>0.299019607843137</v>
      </c>
      <c r="K6" s="22" t="n">
        <f aca="false">K5/G5-1</f>
        <v>0.238636363636364</v>
      </c>
    </row>
    <row r="7" customFormat="false" ht="15" hidden="false" customHeight="false" outlineLevel="0" collapsed="false">
      <c r="A7" s="5" t="s">
        <v>115</v>
      </c>
      <c r="B7" s="46" t="n">
        <v>0.152</v>
      </c>
      <c r="C7" s="46" t="n">
        <v>0.196</v>
      </c>
      <c r="D7" s="46" t="n">
        <v>0.201</v>
      </c>
      <c r="E7" s="46" t="n">
        <v>0.215</v>
      </c>
      <c r="F7" s="46" t="n">
        <v>0.165</v>
      </c>
      <c r="G7" s="46" t="n">
        <v>0.185</v>
      </c>
      <c r="H7" s="46" t="n">
        <v>0.223</v>
      </c>
      <c r="I7" s="46" t="n">
        <v>0.232</v>
      </c>
      <c r="J7" s="46" t="n">
        <v>0.208</v>
      </c>
      <c r="K7" s="46" t="n">
        <v>0.226</v>
      </c>
    </row>
    <row r="8" customFormat="false" ht="15" hidden="false" customHeight="false" outlineLevel="0" collapsed="false">
      <c r="A8" s="21" t="s">
        <v>204</v>
      </c>
      <c r="B8" s="47"/>
      <c r="C8" s="47"/>
      <c r="D8" s="47"/>
      <c r="E8" s="47"/>
      <c r="F8" s="47" t="n">
        <f aca="false">(F7-B7)*100</f>
        <v>1.3</v>
      </c>
      <c r="G8" s="47" t="n">
        <f aca="false">(G7-C7)*100</f>
        <v>-1.1</v>
      </c>
      <c r="H8" s="47" t="n">
        <f aca="false">(H7-D7)*100</f>
        <v>2.2</v>
      </c>
      <c r="I8" s="47" t="n">
        <f aca="false">(I7-E7)*100</f>
        <v>1.7</v>
      </c>
      <c r="J8" s="47" t="n">
        <f aca="false">(J7-F7)*100</f>
        <v>4.3</v>
      </c>
      <c r="K8" s="47" t="n">
        <f aca="false">(K7-G7)*100</f>
        <v>4.1</v>
      </c>
    </row>
    <row r="9" customFormat="false" ht="15" hidden="false" customHeight="false" outlineLevel="0" collapsed="false">
      <c r="A9" s="21" t="s">
        <v>205</v>
      </c>
      <c r="B9" s="48" t="n">
        <f aca="false">B5*B7</f>
        <v>0.24928</v>
      </c>
      <c r="C9" s="48" t="n">
        <f aca="false">C5*C7</f>
        <v>0.3822</v>
      </c>
      <c r="D9" s="48" t="n">
        <f aca="false">D5*D7</f>
        <v>0.41607</v>
      </c>
      <c r="E9" s="48" t="n">
        <f aca="false">E5*E7</f>
        <v>0.50525</v>
      </c>
      <c r="F9" s="48" t="n">
        <f aca="false">F5*F7</f>
        <v>0.3366</v>
      </c>
      <c r="G9" s="48" t="n">
        <f aca="false">G5*G7</f>
        <v>0.4884</v>
      </c>
      <c r="H9" s="48" t="n">
        <f aca="false">H5*H7</f>
        <v>0.59764</v>
      </c>
      <c r="I9" s="48" t="n">
        <f aca="false">I5*I7</f>
        <v>0.66816</v>
      </c>
      <c r="J9" s="48" t="n">
        <f aca="false">J5*J7</f>
        <v>0.5512</v>
      </c>
      <c r="K9" s="48" t="n">
        <f aca="false">K5*K7</f>
        <v>0.73902</v>
      </c>
    </row>
    <row r="10" customFormat="false" ht="15" hidden="false" customHeight="false" outlineLevel="0" collapsed="false">
      <c r="A10" s="21" t="s">
        <v>206</v>
      </c>
      <c r="B10" s="46" t="n">
        <v>0.077</v>
      </c>
      <c r="C10" s="46" t="n">
        <v>0.153</v>
      </c>
      <c r="D10" s="46" t="n">
        <v>0.199</v>
      </c>
      <c r="E10" s="46" t="n">
        <v>0.315</v>
      </c>
      <c r="F10" s="46" t="n">
        <v>0.311</v>
      </c>
      <c r="G10" s="46" t="n">
        <v>0.385</v>
      </c>
      <c r="H10" s="46" t="n">
        <v>0.336</v>
      </c>
      <c r="I10" s="46" t="n">
        <v>0.204</v>
      </c>
      <c r="J10" s="46" t="n">
        <v>0.249</v>
      </c>
      <c r="K10" s="46" t="n">
        <v>0.197</v>
      </c>
    </row>
    <row r="11" customFormat="false" ht="15" hidden="false" customHeight="false" outlineLevel="0" collapsed="false">
      <c r="A11" s="21" t="s">
        <v>207</v>
      </c>
      <c r="B11" s="46" t="n">
        <v>0.094</v>
      </c>
      <c r="C11" s="46" t="n">
        <v>0.085</v>
      </c>
      <c r="D11" s="46" t="n">
        <v>0.169</v>
      </c>
      <c r="E11" s="46" t="n">
        <v>0.121</v>
      </c>
      <c r="F11" s="46" t="n">
        <v>0.074</v>
      </c>
      <c r="G11" s="46" t="n">
        <v>0.186</v>
      </c>
      <c r="H11" s="46" t="n">
        <v>0.101</v>
      </c>
      <c r="I11" s="46" t="n">
        <v>0.149</v>
      </c>
      <c r="J11" s="46" t="n">
        <v>0.137</v>
      </c>
      <c r="K11" s="46" t="n">
        <v>0.101</v>
      </c>
    </row>
    <row r="12" customFormat="false" ht="15" hidden="false" customHeight="false" outlineLevel="0" collapsed="false">
      <c r="A12" s="21" t="s">
        <v>208</v>
      </c>
      <c r="B12" s="47" t="n">
        <f aca="false">(B11-B10)*100</f>
        <v>1.7</v>
      </c>
      <c r="C12" s="47" t="n">
        <f aca="false">(C11-C10)*100</f>
        <v>-6.8</v>
      </c>
      <c r="D12" s="47" t="n">
        <f aca="false">(D11-D10)*100</f>
        <v>-3</v>
      </c>
      <c r="E12" s="47" t="n">
        <f aca="false">(E11-E10)*100</f>
        <v>-19.4</v>
      </c>
      <c r="F12" s="47" t="n">
        <f aca="false">(F11-F10)*100</f>
        <v>-23.7</v>
      </c>
      <c r="G12" s="47" t="n">
        <f aca="false">(G11-G10)*100</f>
        <v>-19.9</v>
      </c>
      <c r="H12" s="47" t="n">
        <f aca="false">(H11-H10)*100</f>
        <v>-23.5</v>
      </c>
      <c r="I12" s="47" t="n">
        <f aca="false">(I11-I10)*100</f>
        <v>-5.5</v>
      </c>
      <c r="J12" s="47" t="n">
        <f aca="false">(J11-J10)*100</f>
        <v>-11.2</v>
      </c>
      <c r="K12" s="47" t="n">
        <f aca="false">(K11-K10)*100</f>
        <v>-9.6</v>
      </c>
    </row>
    <row r="13" customFormat="false" ht="15" hidden="false" customHeight="false" outlineLevel="0" collapsed="false">
      <c r="A13" s="21" t="s">
        <v>209</v>
      </c>
      <c r="B13" s="49" t="str">
        <f aca="false">IF(B11&gt;B10,"Yes","No")</f>
        <v>Yes</v>
      </c>
      <c r="C13" s="49" t="str">
        <f aca="false">IF(C11&gt;C10,"Yes","No")</f>
        <v>No</v>
      </c>
      <c r="D13" s="49" t="str">
        <f aca="false">IF(D11&gt;D10,"Yes","No")</f>
        <v>No</v>
      </c>
      <c r="E13" s="49" t="str">
        <f aca="false">IF(E11&gt;E10,"Yes","No")</f>
        <v>No</v>
      </c>
      <c r="F13" s="49" t="str">
        <f aca="false">IF(F11&gt;F10,"Yes","No")</f>
        <v>No</v>
      </c>
      <c r="G13" s="49" t="str">
        <f aca="false">IF(G11&gt;G10,"Yes","No")</f>
        <v>No</v>
      </c>
      <c r="H13" s="49" t="str">
        <f aca="false">IF(H11&gt;H10,"Yes","No")</f>
        <v>No</v>
      </c>
      <c r="I13" s="49" t="str">
        <f aca="false">IF(I11&gt;I10,"Yes","No")</f>
        <v>No</v>
      </c>
      <c r="J13" s="49" t="str">
        <f aca="false">IF(J11&gt;J10,"Yes","No")</f>
        <v>No</v>
      </c>
      <c r="K13" s="49" t="str">
        <f aca="false">IF(K11&gt;K10,"Yes","No")</f>
        <v>No</v>
      </c>
    </row>
    <row r="15" customFormat="false" ht="15" hidden="false" customHeight="false" outlineLevel="0" collapsed="false">
      <c r="A15" s="11" t="s">
        <v>210</v>
      </c>
    </row>
    <row r="16" customFormat="false" ht="15" hidden="false" customHeight="false" outlineLevel="0" collapsed="false">
      <c r="A16" s="0" t="s">
        <v>211</v>
      </c>
      <c r="B16" s="32" t="n">
        <f aca="false">SUM(B5:E5)</f>
        <v>8.01</v>
      </c>
      <c r="C16" s="32" t="n">
        <f aca="false">SUM(F5:I5)</f>
        <v>10.24</v>
      </c>
      <c r="D16" s="12" t="s">
        <v>212</v>
      </c>
    </row>
    <row r="17" customFormat="false" ht="15" hidden="false" customHeight="false" outlineLevel="0" collapsed="false">
      <c r="A17" s="0" t="s">
        <v>213</v>
      </c>
      <c r="B17" s="0" t="n">
        <f aca="false">COUNTIF(H8:K8,"&gt;0")</f>
        <v>4</v>
      </c>
      <c r="C17" s="0" t="s">
        <v>214</v>
      </c>
    </row>
    <row r="18" customFormat="false" ht="15" hidden="false" customHeight="false" outlineLevel="0" collapsed="false">
      <c r="A18" s="0" t="s">
        <v>215</v>
      </c>
      <c r="B18" s="0" t="n">
        <f aca="false">COUNTIF(B13:K13,"No")</f>
        <v>9</v>
      </c>
      <c r="C18" s="0" t="s">
        <v>216</v>
      </c>
    </row>
    <row r="20" customFormat="false" ht="15" hidden="false" customHeight="false" outlineLevel="0" collapsed="false">
      <c r="A20" s="11" t="s">
        <v>217</v>
      </c>
    </row>
    <row r="21" customFormat="false" ht="15" hidden="false" customHeight="false" outlineLevel="0" collapsed="false">
      <c r="A21" s="3" t="s">
        <v>2</v>
      </c>
      <c r="B21" s="4" t="s">
        <v>3</v>
      </c>
      <c r="C21" s="4" t="s">
        <v>4</v>
      </c>
    </row>
    <row r="22" customFormat="false" ht="15" hidden="false" customHeight="false" outlineLevel="0" collapsed="false">
      <c r="A22" s="0" t="s">
        <v>218</v>
      </c>
      <c r="B22" s="8" t="n">
        <f aca="false">Assumptions!$B$20</f>
        <v>2.85</v>
      </c>
      <c r="C22" s="12" t="s">
        <v>219</v>
      </c>
    </row>
    <row r="23" customFormat="false" ht="15" hidden="false" customHeight="false" outlineLevel="0" collapsed="false">
      <c r="A23" s="0" t="s">
        <v>220</v>
      </c>
      <c r="B23" s="8" t="n">
        <f aca="false">Assumptions!$B$21</f>
        <v>4.2</v>
      </c>
      <c r="C23" s="12"/>
    </row>
    <row r="24" customFormat="false" ht="15" hidden="false" customHeight="false" outlineLevel="0" collapsed="false">
      <c r="A24" s="0" t="s">
        <v>221</v>
      </c>
      <c r="B24" s="50" t="n">
        <v>2.52</v>
      </c>
      <c r="C24" s="12" t="s">
        <v>222</v>
      </c>
    </row>
    <row r="25" customFormat="false" ht="15" hidden="false" customHeight="false" outlineLevel="0" collapsed="false">
      <c r="A25" s="0" t="s">
        <v>223</v>
      </c>
      <c r="B25" s="51" t="n">
        <v>2.9</v>
      </c>
      <c r="C25" s="12" t="s">
        <v>224</v>
      </c>
    </row>
    <row r="26" customFormat="false" ht="15" hidden="false" customHeight="false" outlineLevel="0" collapsed="false">
      <c r="A26" s="0" t="s">
        <v>225</v>
      </c>
      <c r="B26" s="45" t="n">
        <v>15</v>
      </c>
      <c r="C26" s="12" t="s">
        <v>226</v>
      </c>
    </row>
    <row r="27" customFormat="false" ht="15" hidden="false" customHeight="false" outlineLevel="0" collapsed="false">
      <c r="A27" s="0" t="s">
        <v>227</v>
      </c>
      <c r="B27" s="50" t="n">
        <v>1.09</v>
      </c>
      <c r="C27" s="12"/>
    </row>
    <row r="28" customFormat="false" ht="15" hidden="false" customHeight="false" outlineLevel="0" collapsed="false">
      <c r="A28" s="0" t="s">
        <v>228</v>
      </c>
      <c r="B28" s="10" t="s">
        <v>229</v>
      </c>
      <c r="C28" s="12" t="s">
        <v>230</v>
      </c>
    </row>
    <row r="29" customFormat="false" ht="15" hidden="false" customHeight="false" outlineLevel="0" collapsed="false">
      <c r="A29" s="0" t="s">
        <v>231</v>
      </c>
      <c r="B29" s="10" t="s">
        <v>232</v>
      </c>
      <c r="C29" s="12" t="s">
        <v>233</v>
      </c>
    </row>
    <row r="30" customFormat="false" ht="15" hidden="false" customHeight="false" outlineLevel="0" collapsed="false">
      <c r="A30" s="0" t="s">
        <v>234</v>
      </c>
      <c r="B30" s="46" t="n">
        <v>-0.024</v>
      </c>
      <c r="C30" s="12" t="s">
        <v>235</v>
      </c>
    </row>
    <row r="32" customFormat="false" ht="15" hidden="false" customHeight="false" outlineLevel="0" collapsed="false">
      <c r="A32" s="12" t="s">
        <v>236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237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238</v>
      </c>
      <c r="B4" s="4" t="s">
        <v>239</v>
      </c>
      <c r="C4" s="4" t="s">
        <v>240</v>
      </c>
      <c r="D4" s="4" t="s">
        <v>241</v>
      </c>
    </row>
    <row r="5" customFormat="false" ht="15" hidden="false" customHeight="false" outlineLevel="0" collapsed="false">
      <c r="A5" s="5" t="s">
        <v>242</v>
      </c>
      <c r="B5" s="0" t="s">
        <v>243</v>
      </c>
      <c r="C5" s="52" t="n">
        <f aca="false">Assumptions!$B$14</f>
        <v>32.1</v>
      </c>
      <c r="D5" s="7" t="s">
        <v>244</v>
      </c>
    </row>
    <row r="6" customFormat="false" ht="15" hidden="false" customHeight="false" outlineLevel="0" collapsed="false">
      <c r="A6" s="21" t="s">
        <v>245</v>
      </c>
      <c r="B6" s="0" t="s">
        <v>246</v>
      </c>
      <c r="C6" s="15" t="n">
        <v>28.75</v>
      </c>
      <c r="D6" s="7" t="s">
        <v>247</v>
      </c>
    </row>
    <row r="7" customFormat="false" ht="15" hidden="false" customHeight="false" outlineLevel="0" collapsed="false">
      <c r="A7" s="21" t="s">
        <v>248</v>
      </c>
      <c r="B7" s="0" t="s">
        <v>249</v>
      </c>
      <c r="C7" s="15" t="n">
        <v>28.75</v>
      </c>
      <c r="D7" s="7" t="s">
        <v>250</v>
      </c>
    </row>
    <row r="8" customFormat="false" ht="15" hidden="false" customHeight="false" outlineLevel="0" collapsed="false">
      <c r="A8" s="21" t="s">
        <v>251</v>
      </c>
      <c r="B8" s="0" t="s">
        <v>252</v>
      </c>
      <c r="C8" s="15" t="n">
        <v>28.75</v>
      </c>
      <c r="D8" s="7" t="s">
        <v>253</v>
      </c>
    </row>
    <row r="9" customFormat="false" ht="15" hidden="false" customHeight="false" outlineLevel="0" collapsed="false">
      <c r="A9" s="21" t="s">
        <v>254</v>
      </c>
      <c r="B9" s="0" t="s">
        <v>255</v>
      </c>
      <c r="C9" s="15" t="n">
        <v>24</v>
      </c>
      <c r="D9" s="7" t="s">
        <v>256</v>
      </c>
    </row>
    <row r="11" customFormat="false" ht="15" hidden="false" customHeight="false" outlineLevel="0" collapsed="false">
      <c r="A11" s="0" t="s">
        <v>257</v>
      </c>
      <c r="C11" s="34" t="n">
        <f aca="false">Valuation!B18</f>
        <v>37.8537313432836</v>
      </c>
    </row>
    <row r="12" customFormat="false" ht="15" hidden="false" customHeight="false" outlineLevel="0" collapsed="false">
      <c r="A12" s="0" t="s">
        <v>258</v>
      </c>
      <c r="C12" s="34" t="n">
        <f aca="false">Valuation!B6</f>
        <v>28</v>
      </c>
    </row>
    <row r="14" customFormat="false" ht="15" hidden="false" customHeight="false" outlineLevel="0" collapsed="false">
      <c r="A14" s="12" t="s">
        <v>259</v>
      </c>
    </row>
    <row r="15" customFormat="false" ht="15" hidden="false" customHeight="false" outlineLevel="0" collapsed="false">
      <c r="A15" s="12" t="s">
        <v>260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0"/>
  </cols>
  <sheetData>
    <row r="1" customFormat="false" ht="15" hidden="false" customHeight="false" outlineLevel="0" collapsed="false">
      <c r="A1" s="1" t="s">
        <v>261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262</v>
      </c>
      <c r="B4" s="4" t="s">
        <v>263</v>
      </c>
    </row>
    <row r="5" customFormat="false" ht="23.85" hidden="false" customHeight="false" outlineLevel="0" collapsed="false">
      <c r="A5" s="0" t="n">
        <v>1</v>
      </c>
      <c r="B5" s="7" t="s">
        <v>264</v>
      </c>
    </row>
    <row r="6" customFormat="false" ht="15" hidden="false" customHeight="false" outlineLevel="0" collapsed="false">
      <c r="A6" s="0" t="n">
        <v>2</v>
      </c>
      <c r="B6" s="7" t="s">
        <v>265</v>
      </c>
    </row>
    <row r="7" customFormat="false" ht="15" hidden="false" customHeight="false" outlineLevel="0" collapsed="false">
      <c r="A7" s="0" t="n">
        <v>3</v>
      </c>
      <c r="B7" s="7" t="s">
        <v>266</v>
      </c>
    </row>
    <row r="8" customFormat="false" ht="23.85" hidden="false" customHeight="false" outlineLevel="0" collapsed="false">
      <c r="A8" s="0" t="n">
        <v>4</v>
      </c>
      <c r="B8" s="7" t="s">
        <v>267</v>
      </c>
    </row>
    <row r="9" customFormat="false" ht="23.85" hidden="false" customHeight="false" outlineLevel="0" collapsed="false">
      <c r="A9" s="0" t="n">
        <v>5</v>
      </c>
      <c r="B9" s="7" t="s">
        <v>268</v>
      </c>
    </row>
    <row r="10" customFormat="false" ht="15" hidden="false" customHeight="false" outlineLevel="0" collapsed="false">
      <c r="A10" s="0" t="n">
        <v>6</v>
      </c>
      <c r="B10" s="7" t="s">
        <v>269</v>
      </c>
    </row>
    <row r="11" customFormat="false" ht="15" hidden="false" customHeight="false" outlineLevel="0" collapsed="false">
      <c r="A11" s="0" t="n">
        <v>7</v>
      </c>
      <c r="B11" s="7" t="s">
        <v>270</v>
      </c>
    </row>
    <row r="12" customFormat="false" ht="15" hidden="false" customHeight="false" outlineLevel="0" collapsed="false">
      <c r="A12" s="0" t="n">
        <v>8</v>
      </c>
      <c r="B12" s="7" t="s">
        <v>271</v>
      </c>
    </row>
    <row r="13" customFormat="false" ht="15" hidden="false" customHeight="false" outlineLevel="0" collapsed="false">
      <c r="A13" s="0" t="n">
        <v>9</v>
      </c>
      <c r="B13" s="7" t="s">
        <v>272</v>
      </c>
    </row>
    <row r="14" customFormat="false" ht="23.85" hidden="false" customHeight="false" outlineLevel="0" collapsed="false">
      <c r="A14" s="0" t="n">
        <v>10</v>
      </c>
      <c r="B14" s="7" t="s">
        <v>273</v>
      </c>
    </row>
    <row r="15" customFormat="false" ht="15" hidden="false" customHeight="false" outlineLevel="0" collapsed="false">
      <c r="A15" s="0" t="n">
        <v>11</v>
      </c>
      <c r="B15" s="7" t="s">
        <v>274</v>
      </c>
    </row>
    <row r="16" customFormat="false" ht="15" hidden="false" customHeight="false" outlineLevel="0" collapsed="false">
      <c r="A16" s="0" t="n">
        <v>12</v>
      </c>
      <c r="B16" s="7" t="s">
        <v>275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2026-10-06T14:04:14Z</dcterms:created>
  <dc:creator>openpyxl</dc:creator>
  <dc:description/>
  <dc:language>en-GB</dc:language>
  <cp:lastModifiedBy/>
  <dcterms:modified xsi:type="dcterms:W3CDTF">2026-10-06T14:04:14Z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