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DataCentre" sheetId="4" state="visible" r:id="rId6"/>
    <sheet name="Financials" sheetId="5" state="visible" r:id="rId7"/>
    <sheet name="Valuation" sheetId="6" state="visible" r:id="rId8"/>
    <sheet name="Scenarios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<sst xmlns="http://schemas.openxmlformats.org/spreadsheetml/2006/main" count="424" uniqueCount="336">
  <si>
    <t xml:space="preserve">TEXAS INSTRUMENTS (Nasdaq: TXN)  INITIATION MODEL</t>
  </si>
  <si>
    <t xml:space="preserve">Tommy Lau | Texas Instruments (Nasdaq: TXN) | 6 October 2026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</si>
  <si>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</si>
  <si>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</si>
  <si>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</si>
  <si>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</si>
  <si>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call, published 6 Oct 2026.</t>
  </si>
  <si>
    <t xml:space="preserve">Conviction</t>
  </si>
  <si>
    <t xml:space="preserve">Medium</t>
  </si>
  <si>
    <t xml:space="preserve">Judgement, not formula.</t>
  </si>
  <si>
    <t xml:space="preserve">Reference price, US$</t>
  </si>
  <si>
    <t xml:space="preserve">Nasdaq close, 5 October 2026.</t>
  </si>
  <si>
    <t xml:space="preserve">Base value, US$</t>
  </si>
  <si>
    <t xml:space="preserve">25x 2028E EPS.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</si>
  <si>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</si>
  <si>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</si>
  <si>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</si>
  <si>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2026E / 2027E / 2028E EPS, US$</t>
  </si>
  <si>
    <t xml:space="preserve">Own estimates.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</si>
  <si>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</si>
  <si>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</si>
  <si>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</si>
  <si>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</si>
  <si>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Full year 2027 revenue of US$26bn or more with data centre above 15% of it; or gross margin of 65% or more in any quarter to June 2027; or the shares trade above US$340 by October 2027 without either.</t>
  </si>
  <si>
    <t xml:space="preserve">Revisit if</t>
  </si>
  <si>
    <t xml:space="preserve">A price below about US$244; or data centre at 15% or more of revenue while industrial still grows; or a gross margin of 65% or more.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</si>
  <si>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</si>
  <si>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</si>
  <si>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</si>
  <si>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</si>
  <si>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Q1 2024 to Q2 2026 reported, my Q3 and Q4 2026; margins, depreciation, capex, free cash flow.</t>
  </si>
  <si>
    <t xml:space="preserve">DataCentre</t>
  </si>
  <si>
    <t xml:space="preserve">Data centre growth rates as TI states them, and my derivation of its size and share.</t>
  </si>
  <si>
    <t xml:space="preserve">Financials</t>
  </si>
  <si>
    <t xml:space="preserve">2022A, 2024A to 2028E: data centre and the rest, the margin bridge, EPS, P/E, capex and free cash flow.</t>
  </si>
  <si>
    <t xml:space="preserve">Valuation</t>
  </si>
  <si>
    <t xml:space="preserve">Base value, market value, multiples, what the price needs, free cash flow yield.</t>
  </si>
  <si>
    <t xml:space="preserve">Scenarios</t>
  </si>
  <si>
    <t xml:space="preserve">Bear / base / bull, the probability-weighted value, and which driver moves earnings most.</t>
  </si>
  <si>
    <t xml:space="preserve">Sensitivity</t>
  </si>
  <si>
    <t xml:space="preserve">2028E EPS against multiple.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</si>
  <si>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</si>
  <si>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</si>
  <si>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</si>
  <si>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</si>
  <si>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</si>
  <si>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2026-10-06_TexasInstruments_Initiation.pdf.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</si>
  <si>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</si>
  <si>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US$.</t>
  </si>
  <si>
    <t xml:space="preserve">Input</t>
  </si>
  <si>
    <t xml:space="preserve">Unit</t>
  </si>
  <si>
    <t xml:space="preserve">Source / note</t>
  </si>
  <si>
    <t xml:space="preserve">MARKET (retrieved 6 October 2026)</t>
  </si>
  <si>
    <t xml:space="preserve">Share price (Nasdaq: TXN)</t>
  </si>
  <si>
    <t xml:space="preserve">US$</t>
  </si>
  <si>
    <t xml:space="preserve">Nasdaq close, 5 October 2026. Yahoo Finance.</t>
  </si>
  <si>
    <t xml:space="preserve">52-week high</t>
  </si>
  <si>
    <t xml:space="preserve">Yahoo Finance.</t>
  </si>
  <si>
    <t xml:space="preserve">Month-end close, 30 Sep 2025</t>
  </si>
  <si>
    <t xml:space="preserve">Diluted shares</t>
  </si>
  <si>
    <t xml:space="preserve">bn</t>
  </si>
  <si>
    <t xml:space="preserve">Q2 2026 release: 920 million average diluted shares.</t>
  </si>
  <si>
    <t xml:space="preserve">Cash and short-term investments, 30 Jun 2026</t>
  </si>
  <si>
    <t xml:space="preserve">US$bn</t>
  </si>
  <si>
    <t xml:space="preserve">Q2 2026 release: 3.660 + 3.341.</t>
  </si>
  <si>
    <t xml:space="preserve">Total debt, 30 Jun 2026</t>
  </si>
  <si>
    <t xml:space="preserve">Q2 2026 release: long-term 12.903 + current portion 1.149.</t>
  </si>
  <si>
    <t xml:space="preserve">Quarterly dividend from November 2026</t>
  </si>
  <si>
    <t xml:space="preserve">TI 8-K of 17 September 2026: raised 7% from US$1.42.</t>
  </si>
  <si>
    <t xml:space="preserve">2026 consensus EPS</t>
  </si>
  <si>
    <t xml:space="preserve">stockanalysis.com, retrieved 6 October 2026.</t>
  </si>
  <si>
    <t xml:space="preserve">2027 consensus EPS</t>
  </si>
  <si>
    <t xml:space="preserve">2026 consensus revenue</t>
  </si>
  <si>
    <t xml:space="preserve">Forward P/E shown by stockanalysis.com</t>
  </si>
  <si>
    <t xml:space="preserve">x</t>
  </si>
  <si>
    <t xml:space="preserve">stockanalysis.com, 6 October 2026.</t>
  </si>
  <si>
    <t xml:space="preserve">Average analyst target</t>
  </si>
  <si>
    <t xml:space="preserve">stockanalysis.com, 36 analysts, 6 October 2026.</t>
  </si>
  <si>
    <t xml:space="preserve">REPORTED (TI releases, Form 10-K, calls)</t>
  </si>
  <si>
    <t xml:space="preserve">Data centre revenue, 2025</t>
  </si>
  <si>
    <t xml:space="preserve">TI call, 27 January 2026: US$1.5bn, up 64%, 9% of revenue.</t>
  </si>
  <si>
    <t xml:space="preserve">Data centre revenue, Q4 2025</t>
  </si>
  <si>
    <t xml:space="preserve">TI call, 27 January 2026: left 2025 at about US$450m a quarter.</t>
  </si>
  <si>
    <t xml:space="preserve">Data centre, Q4 2025 growth on Q3</t>
  </si>
  <si>
    <t xml:space="preserve">%</t>
  </si>
  <si>
    <t xml:space="preserve">TI call, 27 January 2026: mid-single digits sequentially.</t>
  </si>
  <si>
    <t xml:space="preserve">Data centre, Q1 2026 growth on a year earlier</t>
  </si>
  <si>
    <t xml:space="preserve">TI call, 22 April 2026, as reported: about 90%.</t>
  </si>
  <si>
    <t xml:space="preserve">Data centre, Q2 2026 growth on a year earlier</t>
  </si>
  <si>
    <t xml:space="preserve">TI call, 22 July 2026: doubled.</t>
  </si>
  <si>
    <t xml:space="preserve">Data centre, Q2 2026 growth on Q1</t>
  </si>
  <si>
    <t xml:space="preserve">TI call, 22 July 2026: around 20% sequentially.</t>
  </si>
  <si>
    <t xml:space="preserve">2026 capital spending guide, low</t>
  </si>
  <si>
    <t xml:space="preserve">2025 Form 10-K and Q2 2026 10-Q.</t>
  </si>
  <si>
    <t xml:space="preserve">2026 capital spending guide, high</t>
  </si>
  <si>
    <t xml:space="preserve">Same.</t>
  </si>
  <si>
    <t xml:space="preserve">2026 depreciation guide, low</t>
  </si>
  <si>
    <t xml:space="preserve">TI call, 27 January 2026.</t>
  </si>
  <si>
    <t xml:space="preserve">2026 depreciation guide, high</t>
  </si>
  <si>
    <t xml:space="preserve">Q3 2026 revenue guide, low</t>
  </si>
  <si>
    <t xml:space="preserve">Release of 22 July 2026.</t>
  </si>
  <si>
    <t xml:space="preserve">Q3 2026 revenue guide, high</t>
  </si>
  <si>
    <t xml:space="preserve">Q3 2026 EPS guide, low</t>
  </si>
  <si>
    <t xml:space="preserve">Q3 2026 EPS guide, high</t>
  </si>
  <si>
    <t xml:space="preserve">MY ASSUMPTIONS</t>
  </si>
  <si>
    <t xml:space="preserve">Other income less interest, per quarter</t>
  </si>
  <si>
    <t xml:space="preserve">MINE. Q2 2026: other income 0.069 less interest 0.141. Excludes any Silicon Labs debt.</t>
  </si>
  <si>
    <t xml:space="preserve">Tax rate</t>
  </si>
  <si>
    <t xml:space="preserve">MINE. TI guides about 13% for Q3 2026 and 13 to 14% for 2026.</t>
  </si>
  <si>
    <t xml:space="preserve">Q3 2026 revenue</t>
  </si>
  <si>
    <t xml:space="preserve">MINE. Guide 5.65 to 6.15; loadings rising (Q2 call).</t>
  </si>
  <si>
    <t xml:space="preserve">Q3 2026 operating margin</t>
  </si>
  <si>
    <t xml:space="preserve">MINE. Gives EPS at the US$2.40 guide midpoint.</t>
  </si>
  <si>
    <t xml:space="preserve">Q4 2026 revenue</t>
  </si>
  <si>
    <t xml:space="preserve">MINE. Fourth quarter seasonally softer (10-K).</t>
  </si>
  <si>
    <t xml:space="preserve">Q4 2026 operating margin</t>
  </si>
  <si>
    <t xml:space="preserve">MINE.</t>
  </si>
  <si>
    <t xml:space="preserve">Data centre revenue, Q3 2026</t>
  </si>
  <si>
    <t xml:space="preserve">MINE. About 15% on Q2.</t>
  </si>
  <si>
    <t xml:space="preserve">Data centre revenue, Q4 2026</t>
  </si>
  <si>
    <t xml:space="preserve">Fall-through before depreciation</t>
  </si>
  <si>
    <t xml:space="preserve">MINE. TI gives 70 to 85% (Q2 2026 call); I use 75%, in both directions.</t>
  </si>
  <si>
    <t xml:space="preserve">Extra depreciation in 2027</t>
  </si>
  <si>
    <t xml:space="preserve">MINE. TI: depreciation rises in 2027 at a slower rate (27 Jan 2026 call).</t>
  </si>
  <si>
    <t xml:space="preserve">Extra depreciation in 2028</t>
  </si>
  <si>
    <t xml:space="preserve">Data centre growth, 2027</t>
  </si>
  <si>
    <t xml:space="preserve">MINE. 2026E about 85%.</t>
  </si>
  <si>
    <t xml:space="preserve">Data centre growth, 2028</t>
  </si>
  <si>
    <t xml:space="preserve">Rest of TI growth, 2027</t>
  </si>
  <si>
    <t xml:space="preserve">MINE. Third year of the analog upturn.</t>
  </si>
  <si>
    <t xml:space="preserve">Rest of TI growth, 2028</t>
  </si>
  <si>
    <t xml:space="preserve">MINE. Upturn maturing.</t>
  </si>
  <si>
    <t xml:space="preserve">Target multiple on 2028E EPS (base)</t>
  </si>
  <si>
    <t xml:space="preserve">MINE. Between the analog peer median (Peers tab) and TI's 30.5x today.</t>
  </si>
  <si>
    <t xml:space="preserve">QUARTERLY HISTORY, Q1 2024 TO Q2 2026, AND MY Q3 / Q4 2026</t>
  </si>
  <si>
    <t xml:space="preserve">US$ billion unless stated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</si>
  <si>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</si>
  <si>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</si>
  <si>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</si>
  <si>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</si>
  <si>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</si>
  <si>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</si>
  <si>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</si>
  <si>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</si>
  <si>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</si>
  <si>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</si>
  <si>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Q3 26E</t>
  </si>
  <si>
    <t xml:space="preserve">Q4 26E</t>
  </si>
  <si>
    <t xml:space="preserve">Revenue</t>
  </si>
  <si>
    <t xml:space="preserve">Revenue growth y/y (derived)</t>
  </si>
  <si>
    <t xml:space="preserve">Gross profit</t>
  </si>
  <si>
    <t xml:space="preserve">Gross margin (derived)</t>
  </si>
  <si>
    <t xml:space="preserve">Operating profit</t>
  </si>
  <si>
    <t xml:space="preserve">Operating margin (derived)</t>
  </si>
  <si>
    <t xml:space="preserve">Diluted EPS, US$ (reported; Q3 / Q4 26 mine)</t>
  </si>
  <si>
    <t xml:space="preserve">Depreciation</t>
  </si>
  <si>
    <t xml:space="preserve">Capital expenditures</t>
  </si>
  <si>
    <t xml:space="preserve">Cash flow from operations</t>
  </si>
  <si>
    <t xml:space="preserve">Proceeds from CHIPS Act incentives</t>
  </si>
  <si>
    <t xml:space="preserve">Free cash flow (TI definition, derived)</t>
  </si>
  <si>
    <t xml:space="preserve">Analog segment revenue</t>
  </si>
  <si>
    <t xml:space="preserve">Checks</t>
  </si>
  <si>
    <t xml:space="preserve">Trailing four quarters free cash flow to Q2 26 (TI: US$6.534bn)</t>
  </si>
  <si>
    <t xml:space="preserve">Q2 26 depreciation, annualised</t>
  </si>
  <si>
    <t xml:space="preserve">Q3 26 EPS guide midpoint</t>
  </si>
  <si>
    <t xml:space="preserve">Source: TI quarterly earnings releases (Exhibit 99 to Form 8-K), 23 April 2024 to 22 July 2026.</t>
  </si>
  <si>
    <t xml:space="preserve">Q3 26E and Q4 26E are my estimates; EPS = (operating profit + other income less interest) x (1 - tax) / diluted shares.</t>
  </si>
  <si>
    <t xml:space="preserve">DATA CENTRE: TI'S STATED GROWTH RATES AND MY DERIVATION OF ITS SIZE</t>
  </si>
  <si>
    <t xml:space="preserve">Line</t>
  </si>
  <si>
    <t xml:space="preserve">Working / note</t>
  </si>
  <si>
    <t xml:space="preserve">Q4 2025, US$bn</t>
  </si>
  <si>
    <t xml:space="preserve">TI: about US$450m a quarter exiting 2025.</t>
  </si>
  <si>
    <t xml:space="preserve">Q3 2025, US$bn (derived)</t>
  </si>
  <si>
    <t xml:space="preserve">Q4 grew mid-single digits on Q3.</t>
  </si>
  <si>
    <t xml:space="preserve">Ratio of Q2 2025 to Q1 2025 (derived)</t>
  </si>
  <si>
    <t xml:space="preserve">Q2 26 = 2 x Q2 25 = 1.2 x Q1 26 = 1.2 x 1.9 x Q1 25.</t>
  </si>
  <si>
    <t xml:space="preserve">Q1 2025, US$bn (derived)</t>
  </si>
  <si>
    <t xml:space="preserve">The four quarters of 2025 sum to US$1.5bn.</t>
  </si>
  <si>
    <t xml:space="preserve">Q2 2025, US$bn (derived)</t>
  </si>
  <si>
    <t xml:space="preserve">Q1 2026, US$bn (derived)</t>
  </si>
  <si>
    <t xml:space="preserve">Q2 2026, US$bn (derived)</t>
  </si>
  <si>
    <t xml:space="preserve">My estimate; TI does not disclose the figure.</t>
  </si>
  <si>
    <t xml:space="preserve">Q2 2026 share of TI revenue</t>
  </si>
  <si>
    <t xml:space="preserve">Against 9% for 2025 (10-K).</t>
  </si>
  <si>
    <t xml:space="preserve">Share of TI's y/y revenue growth in Q2 2026</t>
  </si>
  <si>
    <t xml:space="preserve">Data centre's part of the US$1.0bn rise.</t>
  </si>
  <si>
    <t xml:space="preserve">Q4 2025 share of TI revenue</t>
  </si>
  <si>
    <t xml:space="preserve">2026E data centre revenue, US$bn</t>
  </si>
  <si>
    <t xml:space="preserve">MINE for the second half.</t>
  </si>
  <si>
    <t xml:space="preserve">2026E data centre growth</t>
  </si>
  <si>
    <t xml:space="preserve">TI reports data centre growth rates on its calls but not quarterly dollar sizes. The quarterly figures here are my derivation from those rates and are approximate.</t>
  </si>
  <si>
    <t xml:space="preserve">Sources: TI earnings calls of 27 January, 22 April and 22 July 2026; 2025 Form 10-K for the 9% share.</t>
  </si>
  <si>
    <t xml:space="preserve">FINANCIAL SUMMARY AND FORECASTS (US$ billion unless stated)</t>
  </si>
  <si>
    <t xml:space="preserve">2022A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</si>
  <si>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</si>
  <si>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</si>
  <si>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</si>
  <si>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</si>
  <si>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</si>
  <si>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Data centre revenue</t>
  </si>
  <si>
    <t xml:space="preserve">Rest of TI revenue</t>
  </si>
  <si>
    <t xml:space="preserve">Revenue growth</t>
  </si>
  <si>
    <t xml:space="preserve">Data centre share of revenue</t>
  </si>
  <si>
    <t xml:space="preserve">Gross margin (reported; not modelled ahead)</t>
  </si>
  <si>
    <t xml:space="preserve">Operating margin</t>
  </si>
  <si>
    <t xml:space="preserve">Other income less interest</t>
  </si>
  <si>
    <t xml:space="preserve">Net income</t>
  </si>
  <si>
    <t xml:space="preserve">Diluted EPS, US$</t>
  </si>
  <si>
    <t xml:space="preserve">EPS growth</t>
  </si>
  <si>
    <t xml:space="preserve">P/E at reference price</t>
  </si>
  <si>
    <t xml:space="preserve">Free cash flow (TI definition)</t>
  </si>
  <si>
    <t xml:space="preserve">Dividends declared per share, US$</t>
  </si>
  <si>
    <t xml:space="preserve">*2026E to 2028E are my own estimates. 2026E = reported Q1 and Q2 plus my Q3 and Q4 (Quarterly tab); 2026E EPS sums the quarters.</t>
  </si>
  <si>
    <t xml:space="preserve">2027E and 2028E operating profit: prior year + fall-through x extra revenue - extra depreciation. EPS: (operating profit + other income less interest) x (1 - tax) / diluted shares.</t>
  </si>
  <si>
    <t xml:space="preserve">History from SEC XBRL company facts (Forms 10-K). Silicon Labs, expected to close in the first half of 2027, is excluded.</t>
  </si>
  <si>
    <t xml:space="preserve">Note check: 2026E revenue 22.04, EPS 8.50; 2027E 24.73, 10.15; 2028E 26.35, 11.20.</t>
  </si>
  <si>
    <t xml:space="preserve">VALUATION: 25x 2028E EPS, TWELVE MONTHS OUT</t>
  </si>
  <si>
    <t xml:space="preserve">2028E EPS, US$</t>
  </si>
  <si>
    <t xml:space="preserve">The market will be pricing 2028 by October 2027.</t>
  </si>
  <si>
    <t xml:space="preserve">Base multiple, x</t>
  </si>
  <si>
    <t xml:space="preserve">Assumptions tab.</t>
  </si>
  <si>
    <t xml:space="preserve">Base-case value per share, US$</t>
  </si>
  <si>
    <t xml:space="preserve">EPS x multiple.</t>
  </si>
  <si>
    <t xml:space="preserve">Within +/- 15%: no call on value alone.</t>
  </si>
  <si>
    <t xml:space="preserve">Scenarios tab.</t>
  </si>
  <si>
    <t xml:space="preserve">CALL</t>
  </si>
  <si>
    <t xml:space="preserve">Rule of thumb: 15% either side of the price. Conviction is judgement. Tommy Lau's call, 6 Oct 2026.</t>
  </si>
  <si>
    <t xml:space="preserve">Market value on diluted shares, US$bn</t>
  </si>
  <si>
    <t xml:space="preserve">Net debt, US$bn</t>
  </si>
  <si>
    <t xml:space="preserve">30 June 2026, before Silicon Labs (about US$7.5bn).</t>
  </si>
  <si>
    <t xml:space="preserve">Enterprise value, US$bn</t>
  </si>
  <si>
    <t xml:space="preserve">Dividend yield at the new rate</t>
  </si>
  <si>
    <t xml:space="preserve">US$6.08 a year.</t>
  </si>
  <si>
    <t xml:space="preserve">Change since 30 Sep 2025</t>
  </si>
  <si>
    <t xml:space="preserve">Price below the 52-week high</t>
  </si>
  <si>
    <t xml:space="preserve">P/E on my 2026E</t>
  </si>
  <si>
    <t xml:space="preserve">P/E on my 2027E</t>
  </si>
  <si>
    <t xml:space="preserve">P/E on the 2027 consensus</t>
  </si>
  <si>
    <t xml:space="preserve">stockanalysis.com US$10.64.</t>
  </si>
  <si>
    <t xml:space="preserve">P/E on my 2028E</t>
  </si>
  <si>
    <t xml:space="preserve">My 2027E EPS against consensus</t>
  </si>
  <si>
    <t xml:space="preserve">2028 EPS the price needs at the base multiple, US$</t>
  </si>
  <si>
    <t xml:space="preserve">What the market prices in.</t>
  </si>
  <si>
    <t xml:space="preserve">2028 operating profit that needs, US$bn</t>
  </si>
  <si>
    <t xml:space="preserve">2028 revenue that needs on my margin bridge, US$bn</t>
  </si>
  <si>
    <t xml:space="preserve">Against my US$26.35bn.</t>
  </si>
  <si>
    <t xml:space="preserve">That revenue against the 2022 peak</t>
  </si>
  <si>
    <t xml:space="preserve">2022 revenue US$20.03bn.</t>
  </si>
  <si>
    <t xml:space="preserve">2022 gross margin</t>
  </si>
  <si>
    <t xml:space="preserve">Against 61.4% in Q2 2026.</t>
  </si>
  <si>
    <t xml:space="preserve">2026 free cash flow on TI's framework at my revenue, US$bn</t>
  </si>
  <si>
    <t xml:space="preserve">TI: US$8 to 9bn at US$20bn revenue, US$9 to 10bn at US$22bn (Q2 2026 call); midpoints interpolated.</t>
  </si>
  <si>
    <t xml:space="preserve">Per share, US$</t>
  </si>
  <si>
    <t xml:space="preserve">Free cash flow yield at the price</t>
  </si>
  <si>
    <t xml:space="preserve">Includes CHIPS Act cash.</t>
  </si>
  <si>
    <t xml:space="preserve">Price that puts the base case 15% above</t>
  </si>
  <si>
    <t xml:space="preserve">The 'revisit below about US$244' line.</t>
  </si>
  <si>
    <t xml:space="preserve">Data centre share of revenue, 2028E</t>
  </si>
  <si>
    <t xml:space="preserve">THREE CASES, TWELVE MONTHS OUT, AND WHICH DRIVER MATTERS</t>
  </si>
  <si>
    <t xml:space="preserve">Case</t>
  </si>
  <si>
    <t xml:space="preserve">DC growth 27</t>
  </si>
  <si>
    <t xml:space="preserve">DC growth 28</t>
  </si>
  <si>
    <t xml:space="preserve">Rest growth 27</t>
  </si>
  <si>
    <t xml:space="preserve">Rest growth 28</t>
  </si>
  <si>
    <t xml:space="preserve">2027 revenue</t>
  </si>
  <si>
    <t xml:space="preserve">2028 revenue</t>
  </si>
  <si>
    <t xml:space="preserve">2028 op. profit</t>
  </si>
  <si>
    <t xml:space="preserve">2028 EPS</t>
  </si>
  <si>
    <t xml:space="preserve">Multiple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</si>
  <si>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</si>
  <si>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</si>
  <si>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</si>
  <si>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</si>
  <si>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</si>
  <si>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</si>
  <si>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</si>
  <si>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Which driver matters: swap one driver from bear to bull, the other held at base</t>
  </si>
  <si>
    <t xml:space="preserve">Data centre bear, rest base</t>
  </si>
  <si>
    <t xml:space="preserve">Data centre bull, rest base</t>
  </si>
  <si>
    <t xml:space="preserve">Rest bear, data centre base</t>
  </si>
  <si>
    <t xml:space="preserve">Rest bull, data centre base</t>
  </si>
  <si>
    <t xml:space="preserve">2028 EPS swing from data centre, US$</t>
  </si>
  <si>
    <t xml:space="preserve">2028 EPS swing from the rest of TI, US$</t>
  </si>
  <si>
    <t xml:space="preserve">Ratio, rest to data centre</t>
  </si>
  <si>
    <t xml:space="preserve">All cases start from my 2026E (data centre US$2.77bn, rest US$19.27bn) and use the same margin bridge, in both directions.</t>
  </si>
  <si>
    <t xml:space="preserve">Bear: the analog upturn turns in 2027 and data centre slows. Bull: the upturn runs and data centre keeps compounding.</t>
  </si>
  <si>
    <t xml:space="preserve">Silicon Labs is excluded from every case.</t>
  </si>
  <si>
    <t xml:space="preserve">VALUE PER SHARE: 2028E EPS AGAINST MULTIPLE (US$)</t>
  </si>
  <si>
    <t xml:space="preserve">2028 EPS \ multiple</t>
  </si>
  <si>
    <t xml:space="preserve">Cells above the reference price</t>
  </si>
  <si>
    <t xml:space="preserve">of 9</t>
  </si>
  <si>
    <t xml:space="preserve">Middle row links to the model's 2028E EPS and the middle column to the base multiple.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</si>
  <si>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</si>
  <si>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</si>
  <si>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</si>
  <si>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</si>
  <si>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</si>
  <si>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Texas Instruments</t>
  </si>
  <si>
    <t xml:space="preserve">Nasdaq: TXN</t>
  </si>
  <si>
    <t xml:space="preserve">Analog and embedded chips, mostly made in its own 300mm fabs</t>
  </si>
  <si>
    <t xml:space="preserve">Analog Devices</t>
  </si>
  <si>
    <t xml:space="preserve">Nasdaq: ADI</t>
  </si>
  <si>
    <t xml:space="preserve">Analog, mixed-signal and power management chips</t>
  </si>
  <si>
    <t xml:space="preserve">Infineon</t>
  </si>
  <si>
    <t xml:space="preserve">XETRA: IFX</t>
  </si>
  <si>
    <t xml:space="preserve">Power semiconductors, including server power stages</t>
  </si>
  <si>
    <t xml:space="preserve">onsemi</t>
  </si>
  <si>
    <t xml:space="preserve">Nasdaq: ON</t>
  </si>
  <si>
    <t xml:space="preserve">Power and sensing chips, silicon carbide</t>
  </si>
  <si>
    <t xml:space="preserve">Microchip</t>
  </si>
  <si>
    <t xml:space="preserve">Nasdaq: MCHP</t>
  </si>
  <si>
    <t xml:space="preserve">Microcontrollers, analog and power chips</t>
  </si>
  <si>
    <t xml:space="preserve">NXP</t>
  </si>
  <si>
    <t xml:space="preserve">Nasdaq: NXPI</t>
  </si>
  <si>
    <t xml:space="preserve">Automotive and industrial processors and analog</t>
  </si>
  <si>
    <t xml:space="preserve">Monolithic Power</t>
  </si>
  <si>
    <t xml:space="preserve">Nasdaq: MPWR</t>
  </si>
  <si>
    <t xml:space="preserve">Power modules and converters, large AI server exposure</t>
  </si>
  <si>
    <t xml:space="preserve">Median of the six peers</t>
  </si>
  <si>
    <t xml:space="preserve">Median excluding Monolithic Power</t>
  </si>
  <si>
    <t xml:space="preserve">Infineon's figure is from an intraday price on 6 October 2026; the others use closes of 5 October 2026.</t>
  </si>
  <si>
    <t xml:space="preserve">Multiples only, to set the base multiple. No view on the peers' shares is expressed.</t>
  </si>
  <si>
    <t xml:space="preserve">SOURCES</t>
  </si>
  <si>
    <t xml:space="preserve">No.</t>
  </si>
  <si>
    <t xml:space="preserve">Source and what it supports</t>
  </si>
  <si>
    <t xml:space="preserve">TI quarterly earnings releases (Exhibit 99 to Form 8-K), 23 April 2024 to 22 July 2026: revenue, gross and operating profit, EPS, depreciation, capital spending, cash flow, CHIPS Act proceeds, balance sheet, segment revenue, Q3 2026 guide.</t>
  </si>
  <si>
    <t xml:space="preserve">TI Form 10-K for 2025, filed 6 February 2026: revenue by end market, the 40% 300mm cost advantage, 2026 capital spending of US$2 to 3bn, CHIPS Act terms.</t>
  </si>
  <si>
    <t xml:space="preserve">TI Form 10-Q for the second quarter of 2026, filed 24 July 2026: Silicon Labs terms and the US$5bn delayed draw term loan.</t>
  </si>
  <si>
    <t xml:space="preserve">SEC XBRL company facts for TI (CIK 97476): annual revenue, gross and operating profit, EPS, cash flow, capital spending, depreciation and dividends, 2019 to 2025.</t>
  </si>
  <si>
    <t xml:space="preserve">TI earnings calls of 27 January 2026 (data centre US$1.5bn in 2025, end-market growth, 2026 depreciation of US$2.2 to 2.4bn), 22 April 2026 (data centre about 90% y/y, as reported) and 22 July 2026 (data centre doubled y/y and up about 20% q/q, loadings, fall-through of 70 to 85%, free cash flow framework, inventory days).</t>
  </si>
  <si>
    <t xml:space="preserve">TI 8-K of 4 February 2026: agreement to acquire Silicon Labs for US$231 a share, enterprise value about US$7.5bn. TI 8-K of 17 September 2026: quarterly dividend raised to US$1.52.</t>
  </si>
  <si>
    <t xml:space="preserve">TI announcement of 1 October 2026: Q3 2026 results call on 21 October 2026, 3:30pm Central time.</t>
  </si>
  <si>
    <t xml:space="preserve">Yahoo Finance chart API, retrieved 6 October 2026: month-end closes, the 2 and 5 October closes, 52-week range.</t>
  </si>
  <si>
    <t xml:space="preserve">stockanalysis.com, retrieved 6 October 2026: consensus revenue, EPS and target; forward P/E for TI and peers. MarketBeat for the results date cross-check.</t>
  </si>
  <si>
    <t xml:space="preserve">The Physical Layer, 'The most expensive chip in an AI rack runs on Texas Instruments' cheapest ones', 2 October 2026: https://thephysicallayer.fyi/journal/ti-feeds-the-chip/</t>
  </si>
  <si>
    <t xml:space="preserve">Estimates for 2026 to 2028 are the author's own. Personal research, not investment advice. I hold no position in Texas Instruments.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</si>
</sst>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US$&quot;#,##0.00"/>
    <numFmt numFmtId="166" formatCode="0.0%"/>
    <numFmt numFmtId="167" formatCode="#,##0.00"/>
    <numFmt numFmtId="168" formatCode="#,##0.000"/>
    <numFmt numFmtId="169" formatCode="0\x"/>
    <numFmt numFmtId="170" formatCode="0.000"/>
    <numFmt numFmtId="171" formatCode="0.0\x"/>
    <numFmt numFmtId="172" formatCode="#,##0.0"/>
    <numFmt numFmtId="173" formatCode="0.00%"/>
    <numFmt numFmtId="174" formatCode="0%"/>
    <numFmt numFmtId="175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Valuation!$B$11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Assumptions!$B$7</f>
        <v>294.9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Valuation!$B$7</f>
        <v>280.039929215222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Valuation!$B$9</f>
        <v>-0.0503902027289866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Valuation!$B$10</f>
        <v>274.115277181093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6" t="str">
        <f aca="false">TEXT(Financials!E15,"0.00")&amp;" / "&amp;TEXT(Financials!F15,"0.00")&amp;" / "&amp;TEXT(Financials!G15,"0.00")</f>
        <v>8.50 / 10.15 / 11.20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35.05" hidden="false" customHeight="false" outlineLevel="0" collapsed="false">
      <c r="A13" s="5" t="s">
        <v>21</v>
      </c>
      <c r="B13" s="8" t="s">
        <v>22</v>
      </c>
      <c r="C13" s="7" t="s">
        <v>23</v>
      </c>
    </row>
    <row r="14" customFormat="false" ht="23.85" hidden="false" customHeight="fals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8" customFormat="false" ht="15" hidden="false" customHeight="false" outlineLevel="0" collapsed="false">
      <c r="A28" s="12" t="s">
        <v>45</v>
      </c>
    </row>
    <row r="29" customFormat="false" ht="15" hidden="false" customHeight="false" outlineLevel="0" collapsed="false">
      <c r="A29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48</v>
      </c>
    </row>
    <row r="5" customFormat="false" ht="15" hidden="false" customHeight="false" outlineLevel="0" collapsed="false">
      <c r="A5" s="3" t="s">
        <v>49</v>
      </c>
      <c r="B5" s="4" t="s">
        <v>3</v>
      </c>
      <c r="C5" s="4" t="s">
        <v>50</v>
      </c>
      <c r="D5" s="4" t="s">
        <v>51</v>
      </c>
    </row>
    <row r="6" customFormat="false" ht="15" hidden="false" customHeight="false" outlineLevel="0" collapsed="false">
      <c r="A6" s="11" t="s">
        <v>52</v>
      </c>
    </row>
    <row r="7" customFormat="false" ht="15" hidden="false" customHeight="false" outlineLevel="0" collapsed="false">
      <c r="A7" s="0" t="s">
        <v>53</v>
      </c>
      <c r="B7" s="13" t="n">
        <v>294.9</v>
      </c>
      <c r="C7" s="0" t="s">
        <v>54</v>
      </c>
      <c r="D7" s="7" t="s">
        <v>55</v>
      </c>
    </row>
    <row r="8" customFormat="false" ht="15" hidden="false" customHeight="false" outlineLevel="0" collapsed="false">
      <c r="A8" s="0" t="s">
        <v>56</v>
      </c>
      <c r="B8" s="13" t="n">
        <v>334.03</v>
      </c>
      <c r="C8" s="0" t="s">
        <v>54</v>
      </c>
      <c r="D8" s="7" t="s">
        <v>57</v>
      </c>
    </row>
    <row r="9" customFormat="false" ht="15" hidden="false" customHeight="false" outlineLevel="0" collapsed="false">
      <c r="A9" s="0" t="s">
        <v>58</v>
      </c>
      <c r="B9" s="13" t="n">
        <v>183.73</v>
      </c>
      <c r="C9" s="0" t="s">
        <v>54</v>
      </c>
      <c r="D9" s="7" t="s">
        <v>57</v>
      </c>
    </row>
    <row r="10" customFormat="false" ht="15" hidden="false" customHeight="false" outlineLevel="0" collapsed="false">
      <c r="A10" s="0" t="s">
        <v>59</v>
      </c>
      <c r="B10" s="14" t="n">
        <v>0.92</v>
      </c>
      <c r="C10" s="0" t="s">
        <v>60</v>
      </c>
      <c r="D10" s="7" t="s">
        <v>61</v>
      </c>
    </row>
    <row r="11" customFormat="false" ht="15" hidden="false" customHeight="false" outlineLevel="0" collapsed="false">
      <c r="A11" s="0" t="s">
        <v>62</v>
      </c>
      <c r="B11" s="13" t="n">
        <v>7.001</v>
      </c>
      <c r="C11" s="0" t="s">
        <v>63</v>
      </c>
      <c r="D11" s="7" t="s">
        <v>64</v>
      </c>
    </row>
    <row r="12" customFormat="false" ht="15" hidden="false" customHeight="false" outlineLevel="0" collapsed="false">
      <c r="A12" s="0" t="s">
        <v>65</v>
      </c>
      <c r="B12" s="13" t="n">
        <v>14.052</v>
      </c>
      <c r="C12" s="0" t="s">
        <v>63</v>
      </c>
      <c r="D12" s="7" t="s">
        <v>66</v>
      </c>
    </row>
    <row r="13" customFormat="false" ht="15" hidden="false" customHeight="false" outlineLevel="0" collapsed="false">
      <c r="A13" s="0" t="s">
        <v>67</v>
      </c>
      <c r="B13" s="13" t="n">
        <v>1.52</v>
      </c>
      <c r="C13" s="0" t="s">
        <v>54</v>
      </c>
      <c r="D13" s="7" t="s">
        <v>68</v>
      </c>
    </row>
    <row r="14" customFormat="false" ht="15" hidden="false" customHeight="false" outlineLevel="0" collapsed="false">
      <c r="A14" s="0" t="s">
        <v>69</v>
      </c>
      <c r="B14" s="13" t="n">
        <v>8.49</v>
      </c>
      <c r="C14" s="0" t="s">
        <v>54</v>
      </c>
      <c r="D14" s="7" t="s">
        <v>70</v>
      </c>
    </row>
    <row r="15" customFormat="false" ht="15" hidden="false" customHeight="false" outlineLevel="0" collapsed="false">
      <c r="A15" s="0" t="s">
        <v>71</v>
      </c>
      <c r="B15" s="13" t="n">
        <v>10.64</v>
      </c>
      <c r="C15" s="0" t="s">
        <v>54</v>
      </c>
      <c r="D15" s="7" t="s">
        <v>70</v>
      </c>
    </row>
    <row r="16" customFormat="false" ht="15" hidden="false" customHeight="false" outlineLevel="0" collapsed="false">
      <c r="A16" s="0" t="s">
        <v>72</v>
      </c>
      <c r="B16" s="13" t="n">
        <v>21.91</v>
      </c>
      <c r="C16" s="0" t="s">
        <v>63</v>
      </c>
      <c r="D16" s="7" t="s">
        <v>70</v>
      </c>
    </row>
    <row r="17" customFormat="false" ht="15" hidden="false" customHeight="false" outlineLevel="0" collapsed="false">
      <c r="A17" s="0" t="s">
        <v>73</v>
      </c>
      <c r="B17" s="15" t="n">
        <v>30.47</v>
      </c>
      <c r="C17" s="0" t="s">
        <v>74</v>
      </c>
      <c r="D17" s="7" t="s">
        <v>75</v>
      </c>
    </row>
    <row r="18" customFormat="false" ht="15" hidden="false" customHeight="false" outlineLevel="0" collapsed="false">
      <c r="A18" s="0" t="s">
        <v>76</v>
      </c>
      <c r="B18" s="13" t="n">
        <v>324.71</v>
      </c>
      <c r="C18" s="0" t="s">
        <v>54</v>
      </c>
      <c r="D18" s="7" t="s">
        <v>77</v>
      </c>
    </row>
    <row r="19" customFormat="false" ht="15" hidden="false" customHeight="false" outlineLevel="0" collapsed="false">
      <c r="A19" s="11" t="s">
        <v>78</v>
      </c>
    </row>
    <row r="20" customFormat="false" ht="15" hidden="false" customHeight="false" outlineLevel="0" collapsed="false">
      <c r="A20" s="0" t="s">
        <v>79</v>
      </c>
      <c r="B20" s="13" t="n">
        <v>1.5</v>
      </c>
      <c r="C20" s="0" t="s">
        <v>63</v>
      </c>
      <c r="D20" s="7" t="s">
        <v>80</v>
      </c>
    </row>
    <row r="21" customFormat="false" ht="15" hidden="false" customHeight="false" outlineLevel="0" collapsed="false">
      <c r="A21" s="0" t="s">
        <v>81</v>
      </c>
      <c r="B21" s="13" t="n">
        <v>0.45</v>
      </c>
      <c r="C21" s="0" t="s">
        <v>63</v>
      </c>
      <c r="D21" s="7" t="s">
        <v>82</v>
      </c>
    </row>
    <row r="22" customFormat="false" ht="15" hidden="false" customHeight="false" outlineLevel="0" collapsed="false">
      <c r="A22" s="0" t="s">
        <v>83</v>
      </c>
      <c r="B22" s="16" t="n">
        <v>0.05</v>
      </c>
      <c r="C22" s="0" t="s">
        <v>84</v>
      </c>
      <c r="D22" s="7" t="s">
        <v>85</v>
      </c>
    </row>
    <row r="23" customFormat="false" ht="15" hidden="false" customHeight="false" outlineLevel="0" collapsed="false">
      <c r="A23" s="0" t="s">
        <v>86</v>
      </c>
      <c r="B23" s="16" t="n">
        <v>0.9</v>
      </c>
      <c r="C23" s="0" t="s">
        <v>84</v>
      </c>
      <c r="D23" s="7" t="s">
        <v>87</v>
      </c>
    </row>
    <row r="24" customFormat="false" ht="15" hidden="false" customHeight="false" outlineLevel="0" collapsed="false">
      <c r="A24" s="0" t="s">
        <v>88</v>
      </c>
      <c r="B24" s="16" t="n">
        <v>1</v>
      </c>
      <c r="C24" s="0" t="s">
        <v>84</v>
      </c>
      <c r="D24" s="7" t="s">
        <v>89</v>
      </c>
    </row>
    <row r="25" customFormat="false" ht="15" hidden="false" customHeight="false" outlineLevel="0" collapsed="false">
      <c r="A25" s="0" t="s">
        <v>90</v>
      </c>
      <c r="B25" s="16" t="n">
        <v>0.2</v>
      </c>
      <c r="C25" s="0" t="s">
        <v>84</v>
      </c>
      <c r="D25" s="7" t="s">
        <v>91</v>
      </c>
    </row>
    <row r="26" customFormat="false" ht="15" hidden="false" customHeight="false" outlineLevel="0" collapsed="false">
      <c r="A26" s="0" t="s">
        <v>92</v>
      </c>
      <c r="B26" s="13" t="n">
        <v>2</v>
      </c>
      <c r="C26" s="0" t="s">
        <v>63</v>
      </c>
      <c r="D26" s="7" t="s">
        <v>93</v>
      </c>
    </row>
    <row r="27" customFormat="false" ht="15" hidden="false" customHeight="false" outlineLevel="0" collapsed="false">
      <c r="A27" s="0" t="s">
        <v>94</v>
      </c>
      <c r="B27" s="13" t="n">
        <v>3</v>
      </c>
      <c r="C27" s="0" t="s">
        <v>63</v>
      </c>
      <c r="D27" s="7" t="s">
        <v>95</v>
      </c>
    </row>
    <row r="28" customFormat="false" ht="15" hidden="false" customHeight="false" outlineLevel="0" collapsed="false">
      <c r="A28" s="0" t="s">
        <v>96</v>
      </c>
      <c r="B28" s="13" t="n">
        <v>2.2</v>
      </c>
      <c r="C28" s="0" t="s">
        <v>63</v>
      </c>
      <c r="D28" s="7" t="s">
        <v>97</v>
      </c>
    </row>
    <row r="29" customFormat="false" ht="15" hidden="false" customHeight="false" outlineLevel="0" collapsed="false">
      <c r="A29" s="0" t="s">
        <v>98</v>
      </c>
      <c r="B29" s="13" t="n">
        <v>2.4</v>
      </c>
      <c r="C29" s="0" t="s">
        <v>63</v>
      </c>
      <c r="D29" s="7" t="s">
        <v>95</v>
      </c>
    </row>
    <row r="30" customFormat="false" ht="15" hidden="false" customHeight="false" outlineLevel="0" collapsed="false">
      <c r="A30" s="0" t="s">
        <v>99</v>
      </c>
      <c r="B30" s="13" t="n">
        <v>5.65</v>
      </c>
      <c r="C30" s="0" t="s">
        <v>63</v>
      </c>
      <c r="D30" s="7" t="s">
        <v>100</v>
      </c>
    </row>
    <row r="31" customFormat="false" ht="15" hidden="false" customHeight="false" outlineLevel="0" collapsed="false">
      <c r="A31" s="0" t="s">
        <v>101</v>
      </c>
      <c r="B31" s="13" t="n">
        <v>6.15</v>
      </c>
      <c r="C31" s="0" t="s">
        <v>63</v>
      </c>
      <c r="D31" s="7" t="s">
        <v>95</v>
      </c>
    </row>
    <row r="32" customFormat="false" ht="15" hidden="false" customHeight="false" outlineLevel="0" collapsed="false">
      <c r="A32" s="0" t="s">
        <v>102</v>
      </c>
      <c r="B32" s="13" t="n">
        <v>2.23</v>
      </c>
      <c r="C32" s="0" t="s">
        <v>54</v>
      </c>
      <c r="D32" s="7" t="s">
        <v>95</v>
      </c>
    </row>
    <row r="33" customFormat="false" ht="15" hidden="false" customHeight="false" outlineLevel="0" collapsed="false">
      <c r="A33" s="0" t="s">
        <v>103</v>
      </c>
      <c r="B33" s="13" t="n">
        <v>2.57</v>
      </c>
      <c r="C33" s="0" t="s">
        <v>54</v>
      </c>
      <c r="D33" s="7" t="s">
        <v>95</v>
      </c>
    </row>
    <row r="34" customFormat="false" ht="15" hidden="false" customHeight="false" outlineLevel="0" collapsed="false">
      <c r="A34" s="11" t="s">
        <v>104</v>
      </c>
    </row>
    <row r="35" customFormat="false" ht="15" hidden="false" customHeight="false" outlineLevel="0" collapsed="false">
      <c r="A35" s="0" t="s">
        <v>105</v>
      </c>
      <c r="B35" s="17" t="n">
        <v>-0.08</v>
      </c>
      <c r="C35" s="0" t="s">
        <v>63</v>
      </c>
      <c r="D35" s="7" t="s">
        <v>106</v>
      </c>
    </row>
    <row r="36" customFormat="false" ht="15" hidden="false" customHeight="false" outlineLevel="0" collapsed="false">
      <c r="A36" s="0" t="s">
        <v>107</v>
      </c>
      <c r="B36" s="18" t="n">
        <v>0.13</v>
      </c>
      <c r="C36" s="0" t="s">
        <v>84</v>
      </c>
      <c r="D36" s="7" t="s">
        <v>108</v>
      </c>
    </row>
    <row r="37" customFormat="false" ht="15" hidden="false" customHeight="false" outlineLevel="0" collapsed="false">
      <c r="A37" s="0" t="s">
        <v>109</v>
      </c>
      <c r="B37" s="17" t="n">
        <v>5.95</v>
      </c>
      <c r="C37" s="0" t="s">
        <v>63</v>
      </c>
      <c r="D37" s="7" t="s">
        <v>110</v>
      </c>
    </row>
    <row r="38" customFormat="false" ht="15" hidden="false" customHeight="false" outlineLevel="0" collapsed="false">
      <c r="A38" s="0" t="s">
        <v>111</v>
      </c>
      <c r="B38" s="18" t="n">
        <v>0.44</v>
      </c>
      <c r="C38" s="0" t="s">
        <v>84</v>
      </c>
      <c r="D38" s="7" t="s">
        <v>112</v>
      </c>
    </row>
    <row r="39" customFormat="false" ht="15" hidden="false" customHeight="false" outlineLevel="0" collapsed="false">
      <c r="A39" s="0" t="s">
        <v>113</v>
      </c>
      <c r="B39" s="17" t="n">
        <v>5.8</v>
      </c>
      <c r="C39" s="0" t="s">
        <v>63</v>
      </c>
      <c r="D39" s="7" t="s">
        <v>114</v>
      </c>
    </row>
    <row r="40" customFormat="false" ht="15" hidden="false" customHeight="false" outlineLevel="0" collapsed="false">
      <c r="A40" s="0" t="s">
        <v>115</v>
      </c>
      <c r="B40" s="18" t="n">
        <v>0.43</v>
      </c>
      <c r="C40" s="0" t="s">
        <v>84</v>
      </c>
      <c r="D40" s="7" t="s">
        <v>116</v>
      </c>
    </row>
    <row r="41" customFormat="false" ht="15" hidden="false" customHeight="false" outlineLevel="0" collapsed="false">
      <c r="A41" s="0" t="s">
        <v>117</v>
      </c>
      <c r="B41" s="17" t="n">
        <v>0.76</v>
      </c>
      <c r="C41" s="0" t="s">
        <v>63</v>
      </c>
      <c r="D41" s="7" t="s">
        <v>118</v>
      </c>
    </row>
    <row r="42" customFormat="false" ht="15" hidden="false" customHeight="false" outlineLevel="0" collapsed="false">
      <c r="A42" s="0" t="s">
        <v>119</v>
      </c>
      <c r="B42" s="17" t="n">
        <v>0.8</v>
      </c>
      <c r="C42" s="0" t="s">
        <v>63</v>
      </c>
      <c r="D42" s="7" t="s">
        <v>116</v>
      </c>
    </row>
    <row r="43" customFormat="false" ht="15" hidden="false" customHeight="false" outlineLevel="0" collapsed="false">
      <c r="A43" s="0" t="s">
        <v>120</v>
      </c>
      <c r="B43" s="18" t="n">
        <v>0.75</v>
      </c>
      <c r="C43" s="0" t="s">
        <v>84</v>
      </c>
      <c r="D43" s="7" t="s">
        <v>121</v>
      </c>
    </row>
    <row r="44" customFormat="false" ht="15" hidden="false" customHeight="false" outlineLevel="0" collapsed="false">
      <c r="A44" s="0" t="s">
        <v>122</v>
      </c>
      <c r="B44" s="17" t="n">
        <v>0.2</v>
      </c>
      <c r="C44" s="0" t="s">
        <v>63</v>
      </c>
      <c r="D44" s="7" t="s">
        <v>123</v>
      </c>
    </row>
    <row r="45" customFormat="false" ht="15" hidden="false" customHeight="false" outlineLevel="0" collapsed="false">
      <c r="A45" s="0" t="s">
        <v>124</v>
      </c>
      <c r="B45" s="17" t="n">
        <v>0.1</v>
      </c>
      <c r="C45" s="0" t="s">
        <v>63</v>
      </c>
      <c r="D45" s="7" t="s">
        <v>116</v>
      </c>
    </row>
    <row r="46" customFormat="false" ht="15" hidden="false" customHeight="false" outlineLevel="0" collapsed="false">
      <c r="A46" s="0" t="s">
        <v>125</v>
      </c>
      <c r="B46" s="18" t="n">
        <v>0.45</v>
      </c>
      <c r="C46" s="0" t="s">
        <v>84</v>
      </c>
      <c r="D46" s="7" t="s">
        <v>126</v>
      </c>
    </row>
    <row r="47" customFormat="false" ht="15" hidden="false" customHeight="false" outlineLevel="0" collapsed="false">
      <c r="A47" s="0" t="s">
        <v>127</v>
      </c>
      <c r="B47" s="18" t="n">
        <v>0.3</v>
      </c>
      <c r="C47" s="0" t="s">
        <v>84</v>
      </c>
      <c r="D47" s="7" t="s">
        <v>116</v>
      </c>
    </row>
    <row r="48" customFormat="false" ht="15" hidden="false" customHeight="false" outlineLevel="0" collapsed="false">
      <c r="A48" s="0" t="s">
        <v>128</v>
      </c>
      <c r="B48" s="18" t="n">
        <v>0.075</v>
      </c>
      <c r="C48" s="0" t="s">
        <v>84</v>
      </c>
      <c r="D48" s="7" t="s">
        <v>129</v>
      </c>
    </row>
    <row r="49" customFormat="false" ht="15" hidden="false" customHeight="false" outlineLevel="0" collapsed="false">
      <c r="A49" s="0" t="s">
        <v>130</v>
      </c>
      <c r="B49" s="18" t="n">
        <v>0.02</v>
      </c>
      <c r="C49" s="0" t="s">
        <v>84</v>
      </c>
      <c r="D49" s="7" t="s">
        <v>131</v>
      </c>
    </row>
    <row r="50" customFormat="false" ht="15" hidden="false" customHeight="false" outlineLevel="0" collapsed="false">
      <c r="A50" s="0" t="s">
        <v>132</v>
      </c>
      <c r="B50" s="19" t="n">
        <v>25</v>
      </c>
      <c r="C50" s="0" t="s">
        <v>74</v>
      </c>
      <c r="D50" s="7" t="s">
        <v>133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13" min="2" style="0" width="10"/>
  </cols>
  <sheetData>
    <row r="1" customFormat="false" ht="15" hidden="false" customHeight="false" outlineLevel="0" collapsed="false">
      <c r="A1" s="1" t="s">
        <v>134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135</v>
      </c>
      <c r="B4" s="4" t="s">
        <v>136</v>
      </c>
      <c r="C4" s="4" t="s">
        <v>137</v>
      </c>
      <c r="D4" s="4" t="s">
        <v>138</v>
      </c>
      <c r="E4" s="4" t="s">
        <v>139</v>
      </c>
      <c r="F4" s="4" t="s">
        <v>140</v>
      </c>
      <c r="G4" s="4" t="s">
        <v>141</v>
      </c>
      <c r="H4" s="4" t="s">
        <v>142</v>
      </c>
      <c r="I4" s="4" t="s">
        <v>143</v>
      </c>
      <c r="J4" s="4" t="s">
        <v>144</v>
      </c>
      <c r="K4" s="4" t="s">
        <v>145</v>
      </c>
      <c r="L4" s="4" t="s">
        <v>146</v>
      </c>
      <c r="M4" s="4" t="s">
        <v>147</v>
      </c>
    </row>
    <row r="5" customFormat="false" ht="15" hidden="false" customHeight="false" outlineLevel="0" collapsed="false">
      <c r="A5" s="5" t="s">
        <v>148</v>
      </c>
      <c r="B5" s="20" t="n">
        <v>3.661</v>
      </c>
      <c r="C5" s="20" t="n">
        <v>3.822</v>
      </c>
      <c r="D5" s="20" t="n">
        <v>4.151</v>
      </c>
      <c r="E5" s="20" t="n">
        <v>4.007</v>
      </c>
      <c r="F5" s="20" t="n">
        <v>4.069</v>
      </c>
      <c r="G5" s="20" t="n">
        <v>4.448</v>
      </c>
      <c r="H5" s="20" t="n">
        <v>4.742</v>
      </c>
      <c r="I5" s="20" t="n">
        <v>4.423</v>
      </c>
      <c r="J5" s="20" t="n">
        <v>4.825</v>
      </c>
      <c r="K5" s="20" t="n">
        <v>5.463</v>
      </c>
      <c r="L5" s="21" t="n">
        <f aca="false">Assumptions!$B$37</f>
        <v>5.95</v>
      </c>
      <c r="M5" s="21" t="n">
        <f aca="false">Assumptions!$B$39</f>
        <v>5.8</v>
      </c>
    </row>
    <row r="6" customFormat="false" ht="15" hidden="false" customHeight="false" outlineLevel="0" collapsed="false">
      <c r="A6" s="22" t="s">
        <v>149</v>
      </c>
      <c r="B6" s="23"/>
      <c r="C6" s="23"/>
      <c r="D6" s="23"/>
      <c r="E6" s="23"/>
      <c r="F6" s="23" t="n">
        <f aca="false">F5/B5-1</f>
        <v>0.111444960393335</v>
      </c>
      <c r="G6" s="23" t="n">
        <f aca="false">G5/C5-1</f>
        <v>0.163788592360021</v>
      </c>
      <c r="H6" s="23" t="n">
        <f aca="false">H5/D5-1</f>
        <v>0.142375331245483</v>
      </c>
      <c r="I6" s="23" t="n">
        <f aca="false">I5/E5-1</f>
        <v>0.103818317943599</v>
      </c>
      <c r="J6" s="23" t="n">
        <f aca="false">J5/F5-1</f>
        <v>0.185795035635291</v>
      </c>
      <c r="K6" s="23" t="n">
        <f aca="false">K5/G5-1</f>
        <v>0.228192446043165</v>
      </c>
      <c r="L6" s="23" t="n">
        <f aca="false">L5/H5-1</f>
        <v>0.254744833403627</v>
      </c>
      <c r="M6" s="23" t="n">
        <f aca="false">M5/I5-1</f>
        <v>0.311327153515713</v>
      </c>
    </row>
    <row r="7" customFormat="false" ht="15" hidden="false" customHeight="false" outlineLevel="0" collapsed="false">
      <c r="A7" s="22" t="s">
        <v>150</v>
      </c>
      <c r="B7" s="20" t="n">
        <v>2.095</v>
      </c>
      <c r="C7" s="20" t="n">
        <v>2.211</v>
      </c>
      <c r="D7" s="20" t="n">
        <v>2.474</v>
      </c>
      <c r="E7" s="20" t="n">
        <v>2.314</v>
      </c>
      <c r="F7" s="20" t="n">
        <v>2.313</v>
      </c>
      <c r="G7" s="20" t="n">
        <v>2.575</v>
      </c>
      <c r="H7" s="20" t="n">
        <v>2.723</v>
      </c>
      <c r="I7" s="20" t="n">
        <v>2.472</v>
      </c>
      <c r="J7" s="20" t="n">
        <v>2.799</v>
      </c>
      <c r="K7" s="20" t="n">
        <v>3.352</v>
      </c>
      <c r="L7" s="24"/>
      <c r="M7" s="24"/>
    </row>
    <row r="8" customFormat="false" ht="15" hidden="false" customHeight="false" outlineLevel="0" collapsed="false">
      <c r="A8" s="5" t="s">
        <v>151</v>
      </c>
      <c r="B8" s="23" t="n">
        <f aca="false">B7/B5</f>
        <v>0.572248019666758</v>
      </c>
      <c r="C8" s="23" t="n">
        <f aca="false">C7/C5</f>
        <v>0.578492935635793</v>
      </c>
      <c r="D8" s="23" t="n">
        <f aca="false">D7/D5</f>
        <v>0.596000963623223</v>
      </c>
      <c r="E8" s="23" t="n">
        <f aca="false">E7/E5</f>
        <v>0.577489393561268</v>
      </c>
      <c r="F8" s="23" t="n">
        <f aca="false">F7/F5</f>
        <v>0.568444335217498</v>
      </c>
      <c r="G8" s="23" t="n">
        <f aca="false">G7/G5</f>
        <v>0.578911870503597</v>
      </c>
      <c r="H8" s="23" t="n">
        <f aca="false">H7/H5</f>
        <v>0.574230282581189</v>
      </c>
      <c r="I8" s="23" t="n">
        <f aca="false">I7/I5</f>
        <v>0.558896676463939</v>
      </c>
      <c r="J8" s="23" t="n">
        <f aca="false">J7/J5</f>
        <v>0.580103626943005</v>
      </c>
      <c r="K8" s="23" t="n">
        <f aca="false">K7/K5</f>
        <v>0.613582280798096</v>
      </c>
      <c r="L8" s="23"/>
      <c r="M8" s="23"/>
    </row>
    <row r="9" customFormat="false" ht="15" hidden="false" customHeight="false" outlineLevel="0" collapsed="false">
      <c r="A9" s="22" t="s">
        <v>152</v>
      </c>
      <c r="B9" s="20" t="n">
        <v>1.286</v>
      </c>
      <c r="C9" s="20" t="n">
        <v>1.248</v>
      </c>
      <c r="D9" s="20" t="n">
        <v>1.554</v>
      </c>
      <c r="E9" s="20" t="n">
        <v>1.377</v>
      </c>
      <c r="F9" s="20" t="n">
        <v>1.324</v>
      </c>
      <c r="G9" s="20" t="n">
        <v>1.563</v>
      </c>
      <c r="H9" s="20" t="n">
        <v>1.663</v>
      </c>
      <c r="I9" s="20" t="n">
        <v>1.473</v>
      </c>
      <c r="J9" s="20" t="n">
        <v>1.808</v>
      </c>
      <c r="K9" s="20" t="n">
        <v>2.31</v>
      </c>
      <c r="L9" s="24" t="n">
        <f aca="false">L5*Assumptions!$B$38</f>
        <v>2.618</v>
      </c>
      <c r="M9" s="24" t="n">
        <f aca="false">M5*Assumptions!$B$40</f>
        <v>2.494</v>
      </c>
    </row>
    <row r="10" customFormat="false" ht="15" hidden="false" customHeight="false" outlineLevel="0" collapsed="false">
      <c r="A10" s="22" t="s">
        <v>153</v>
      </c>
      <c r="B10" s="23" t="n">
        <f aca="false">B9/B5</f>
        <v>0.351270144769189</v>
      </c>
      <c r="C10" s="23" t="n">
        <f aca="false">C9/C5</f>
        <v>0.326530612244898</v>
      </c>
      <c r="D10" s="23" t="n">
        <f aca="false">D9/D5</f>
        <v>0.374367622259697</v>
      </c>
      <c r="E10" s="23" t="n">
        <f aca="false">E9/E5</f>
        <v>0.343648614923883</v>
      </c>
      <c r="F10" s="23" t="n">
        <f aca="false">F9/F5</f>
        <v>0.325387072990907</v>
      </c>
      <c r="G10" s="23" t="n">
        <f aca="false">G9/G5</f>
        <v>0.351393884892086</v>
      </c>
      <c r="H10" s="23" t="n">
        <f aca="false">H9/H5</f>
        <v>0.350695908899199</v>
      </c>
      <c r="I10" s="23" t="n">
        <f aca="false">I9/I5</f>
        <v>0.333031878815284</v>
      </c>
      <c r="J10" s="23" t="n">
        <f aca="false">J9/J5</f>
        <v>0.374715025906736</v>
      </c>
      <c r="K10" s="23" t="n">
        <f aca="false">K9/K5</f>
        <v>0.42284459088413</v>
      </c>
      <c r="L10" s="23" t="n">
        <f aca="false">L9/L5</f>
        <v>0.44</v>
      </c>
      <c r="M10" s="23" t="n">
        <f aca="false">M9/M5</f>
        <v>0.43</v>
      </c>
    </row>
    <row r="11" customFormat="false" ht="15" hidden="false" customHeight="false" outlineLevel="0" collapsed="false">
      <c r="A11" s="5" t="s">
        <v>154</v>
      </c>
      <c r="B11" s="25" t="n">
        <v>1.2</v>
      </c>
      <c r="C11" s="25" t="n">
        <v>1.22</v>
      </c>
      <c r="D11" s="25" t="n">
        <v>1.47</v>
      </c>
      <c r="E11" s="25" t="n">
        <v>1.3</v>
      </c>
      <c r="F11" s="25" t="n">
        <v>1.28</v>
      </c>
      <c r="G11" s="25" t="n">
        <v>1.41</v>
      </c>
      <c r="H11" s="25" t="n">
        <v>1.48</v>
      </c>
      <c r="I11" s="25" t="n">
        <v>1.27</v>
      </c>
      <c r="J11" s="25" t="n">
        <v>1.68</v>
      </c>
      <c r="K11" s="25" t="n">
        <v>2.14</v>
      </c>
      <c r="L11" s="26" t="n">
        <f aca="false">(L9+Assumptions!$B$35)*(1-Assumptions!$B$36)/Assumptions!$B$10</f>
        <v>2.4000652173913</v>
      </c>
      <c r="M11" s="26" t="n">
        <f aca="false">(M9+Assumptions!$B$35)*(1-Assumptions!$B$36)/Assumptions!$B$10</f>
        <v>2.28280434782609</v>
      </c>
    </row>
    <row r="12" customFormat="false" ht="15" hidden="false" customHeight="false" outlineLevel="0" collapsed="false">
      <c r="A12" s="22" t="s">
        <v>155</v>
      </c>
      <c r="B12" s="20" t="n">
        <v>0.346</v>
      </c>
      <c r="C12" s="20" t="n">
        <v>0.363</v>
      </c>
      <c r="D12" s="20" t="n">
        <v>0.383</v>
      </c>
      <c r="E12" s="20" t="n">
        <v>0.416</v>
      </c>
      <c r="F12" s="20" t="n">
        <v>0.424</v>
      </c>
      <c r="G12" s="20" t="n">
        <v>0.46</v>
      </c>
      <c r="H12" s="20" t="n">
        <v>0.497</v>
      </c>
      <c r="I12" s="20" t="n">
        <v>0.537</v>
      </c>
      <c r="J12" s="20" t="n">
        <v>0.541</v>
      </c>
      <c r="K12" s="20" t="n">
        <v>0.547</v>
      </c>
      <c r="L12" s="24"/>
      <c r="M12" s="24"/>
    </row>
    <row r="13" customFormat="false" ht="15" hidden="false" customHeight="false" outlineLevel="0" collapsed="false">
      <c r="A13" s="22" t="s">
        <v>156</v>
      </c>
      <c r="B13" s="20" t="n">
        <v>1.248</v>
      </c>
      <c r="C13" s="20" t="n">
        <v>1.064</v>
      </c>
      <c r="D13" s="20" t="n">
        <v>1.316</v>
      </c>
      <c r="E13" s="20" t="n">
        <v>1.192</v>
      </c>
      <c r="F13" s="20" t="n">
        <v>1.123</v>
      </c>
      <c r="G13" s="20" t="n">
        <v>1.305</v>
      </c>
      <c r="H13" s="20" t="n">
        <v>1.197</v>
      </c>
      <c r="I13" s="20" t="n">
        <v>0.925</v>
      </c>
      <c r="J13" s="20" t="n">
        <v>0.676</v>
      </c>
      <c r="K13" s="20" t="n">
        <v>0.514</v>
      </c>
      <c r="L13" s="24"/>
      <c r="M13" s="24"/>
    </row>
    <row r="14" customFormat="false" ht="15" hidden="false" customHeight="false" outlineLevel="0" collapsed="false">
      <c r="A14" s="22" t="s">
        <v>157</v>
      </c>
      <c r="B14" s="20" t="n">
        <v>1.017</v>
      </c>
      <c r="C14" s="20" t="n">
        <v>1.571</v>
      </c>
      <c r="D14" s="20" t="n">
        <v>1.732</v>
      </c>
      <c r="E14" s="20" t="n">
        <v>1.998</v>
      </c>
      <c r="F14" s="20" t="n">
        <v>0.849</v>
      </c>
      <c r="G14" s="20" t="n">
        <v>1.86</v>
      </c>
      <c r="H14" s="20" t="n">
        <v>2.19</v>
      </c>
      <c r="I14" s="20" t="n">
        <v>2.254</v>
      </c>
      <c r="J14" s="20" t="n">
        <v>1.52</v>
      </c>
      <c r="K14" s="20" t="n">
        <v>2.703</v>
      </c>
      <c r="L14" s="24"/>
      <c r="M14" s="24"/>
    </row>
    <row r="15" customFormat="false" ht="15" hidden="false" customHeight="false" outlineLevel="0" collapsed="false">
      <c r="A15" s="22" t="s">
        <v>158</v>
      </c>
      <c r="B15" s="20" t="n">
        <v>0</v>
      </c>
      <c r="C15" s="20" t="n">
        <v>0</v>
      </c>
      <c r="D15" s="20" t="n">
        <v>0</v>
      </c>
      <c r="E15" s="20" t="n">
        <v>0</v>
      </c>
      <c r="F15" s="20" t="n">
        <v>0.26</v>
      </c>
      <c r="G15" s="20" t="n">
        <v>0</v>
      </c>
      <c r="H15" s="20" t="n">
        <v>0.075</v>
      </c>
      <c r="I15" s="20" t="n">
        <v>0</v>
      </c>
      <c r="J15" s="20" t="n">
        <v>0.555</v>
      </c>
      <c r="K15" s="20" t="n">
        <v>0.549</v>
      </c>
      <c r="L15" s="24"/>
      <c r="M15" s="24"/>
    </row>
    <row r="16" customFormat="false" ht="15" hidden="false" customHeight="false" outlineLevel="0" collapsed="false">
      <c r="A16" s="5" t="s">
        <v>159</v>
      </c>
      <c r="B16" s="24" t="n">
        <f aca="false">B14-B13+B15</f>
        <v>-0.231</v>
      </c>
      <c r="C16" s="24" t="n">
        <f aca="false">C14-C13+C15</f>
        <v>0.507</v>
      </c>
      <c r="D16" s="24" t="n">
        <f aca="false">D14-D13+D15</f>
        <v>0.416</v>
      </c>
      <c r="E16" s="24" t="n">
        <f aca="false">E14-E13+E15</f>
        <v>0.806</v>
      </c>
      <c r="F16" s="24" t="n">
        <f aca="false">F14-F13+F15</f>
        <v>-0.014</v>
      </c>
      <c r="G16" s="24" t="n">
        <f aca="false">G14-G13+G15</f>
        <v>0.555</v>
      </c>
      <c r="H16" s="24" t="n">
        <f aca="false">H14-H13+H15</f>
        <v>1.068</v>
      </c>
      <c r="I16" s="24" t="n">
        <f aca="false">I14-I13+I15</f>
        <v>1.329</v>
      </c>
      <c r="J16" s="24" t="n">
        <f aca="false">J14-J13+J15</f>
        <v>1.399</v>
      </c>
      <c r="K16" s="24" t="n">
        <f aca="false">K14-K13+K15</f>
        <v>2.738</v>
      </c>
      <c r="L16" s="24"/>
      <c r="M16" s="24"/>
    </row>
    <row r="17" customFormat="false" ht="15" hidden="false" customHeight="false" outlineLevel="0" collapsed="false">
      <c r="A17" s="22" t="s">
        <v>160</v>
      </c>
      <c r="B17" s="20" t="n">
        <v>2.836</v>
      </c>
      <c r="C17" s="20" t="n">
        <v>2.928</v>
      </c>
      <c r="D17" s="20" t="n">
        <v>3.223</v>
      </c>
      <c r="E17" s="20" t="n">
        <v>3.174</v>
      </c>
      <c r="F17" s="20" t="n">
        <v>3.21</v>
      </c>
      <c r="G17" s="20" t="n">
        <v>3.452</v>
      </c>
      <c r="H17" s="20" t="n">
        <v>3.729</v>
      </c>
      <c r="I17" s="20" t="n">
        <v>3.615</v>
      </c>
      <c r="J17" s="20" t="n">
        <v>3.924</v>
      </c>
      <c r="K17" s="20" t="n">
        <v>4.365</v>
      </c>
      <c r="L17" s="24"/>
      <c r="M17" s="24"/>
    </row>
    <row r="19" customFormat="false" ht="15" hidden="false" customHeight="false" outlineLevel="0" collapsed="false">
      <c r="A19" s="11" t="s">
        <v>161</v>
      </c>
    </row>
    <row r="20" customFormat="false" ht="15" hidden="false" customHeight="false" outlineLevel="0" collapsed="false">
      <c r="A20" s="0" t="s">
        <v>162</v>
      </c>
      <c r="B20" s="27" t="n">
        <f aca="false">SUM(H16:K16)</f>
        <v>6.534</v>
      </c>
    </row>
    <row r="21" customFormat="false" ht="15" hidden="false" customHeight="false" outlineLevel="0" collapsed="false">
      <c r="A21" s="0" t="s">
        <v>163</v>
      </c>
      <c r="B21" s="27" t="n">
        <f aca="false">K12*4</f>
        <v>2.188</v>
      </c>
    </row>
    <row r="22" customFormat="false" ht="15" hidden="false" customHeight="false" outlineLevel="0" collapsed="false">
      <c r="A22" s="0" t="s">
        <v>164</v>
      </c>
      <c r="B22" s="28" t="n">
        <f aca="false">(Assumptions!$B$32+Assumptions!$B$33)/2</f>
        <v>2.4</v>
      </c>
    </row>
    <row r="24" customFormat="false" ht="15" hidden="false" customHeight="false" outlineLevel="0" collapsed="false">
      <c r="A24" s="12" t="s">
        <v>165</v>
      </c>
    </row>
    <row r="25" customFormat="false" ht="15" hidden="false" customHeight="false" outlineLevel="0" collapsed="false">
      <c r="A25" s="12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167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168</v>
      </c>
      <c r="B4" s="4" t="s">
        <v>3</v>
      </c>
      <c r="C4" s="4" t="s">
        <v>169</v>
      </c>
    </row>
    <row r="5" customFormat="false" ht="15" hidden="false" customHeight="false" outlineLevel="0" collapsed="false">
      <c r="A5" s="0" t="s">
        <v>170</v>
      </c>
      <c r="B5" s="27" t="n">
        <f aca="false">Assumptions!$B$21</f>
        <v>0.45</v>
      </c>
      <c r="C5" s="7" t="s">
        <v>171</v>
      </c>
    </row>
    <row r="6" customFormat="false" ht="15" hidden="false" customHeight="false" outlineLevel="0" collapsed="false">
      <c r="A6" s="0" t="s">
        <v>172</v>
      </c>
      <c r="B6" s="27" t="n">
        <f aca="false">B5/(1+Assumptions!$B$22)</f>
        <v>0.428571428571429</v>
      </c>
      <c r="C6" s="7" t="s">
        <v>173</v>
      </c>
    </row>
    <row r="7" customFormat="false" ht="15" hidden="false" customHeight="false" outlineLevel="0" collapsed="false">
      <c r="A7" s="0" t="s">
        <v>174</v>
      </c>
      <c r="B7" s="29" t="n">
        <f aca="false">(1+Assumptions!$B$25)*(1+Assumptions!$B$23)/(1+Assumptions!$B$24)</f>
        <v>1.14</v>
      </c>
      <c r="C7" s="7" t="s">
        <v>175</v>
      </c>
    </row>
    <row r="8" customFormat="false" ht="15" hidden="false" customHeight="false" outlineLevel="0" collapsed="false">
      <c r="A8" s="0" t="s">
        <v>176</v>
      </c>
      <c r="B8" s="27" t="n">
        <f aca="false">(Assumptions!$B$20-B5-B6)/(1+B7)</f>
        <v>0.290387182910547</v>
      </c>
      <c r="C8" s="7" t="s">
        <v>177</v>
      </c>
    </row>
    <row r="9" customFormat="false" ht="15" hidden="false" customHeight="false" outlineLevel="0" collapsed="false">
      <c r="A9" s="0" t="s">
        <v>178</v>
      </c>
      <c r="B9" s="27" t="n">
        <f aca="false">B7*B8</f>
        <v>0.331041388518024</v>
      </c>
      <c r="C9" s="7"/>
    </row>
    <row r="10" customFormat="false" ht="15" hidden="false" customHeight="false" outlineLevel="0" collapsed="false">
      <c r="A10" s="0" t="s">
        <v>179</v>
      </c>
      <c r="B10" s="27" t="n">
        <f aca="false">B8*(1+Assumptions!$B$23)</f>
        <v>0.55173564753004</v>
      </c>
      <c r="C10" s="7"/>
    </row>
    <row r="11" customFormat="false" ht="15" hidden="false" customHeight="false" outlineLevel="0" collapsed="false">
      <c r="A11" s="0" t="s">
        <v>180</v>
      </c>
      <c r="B11" s="27" t="n">
        <f aca="false">B9*(1+Assumptions!$B$24)</f>
        <v>0.662082777036048</v>
      </c>
      <c r="C11" s="7" t="s">
        <v>181</v>
      </c>
    </row>
    <row r="12" customFormat="false" ht="15" hidden="false" customHeight="false" outlineLevel="0" collapsed="false">
      <c r="A12" s="0" t="s">
        <v>182</v>
      </c>
      <c r="B12" s="30" t="n">
        <f aca="false">B11/Quarterly!K5</f>
        <v>0.121193991769366</v>
      </c>
      <c r="C12" s="7" t="s">
        <v>183</v>
      </c>
    </row>
    <row r="13" customFormat="false" ht="15" hidden="false" customHeight="false" outlineLevel="0" collapsed="false">
      <c r="A13" s="0" t="s">
        <v>184</v>
      </c>
      <c r="B13" s="30" t="n">
        <f aca="false">(B11-B9)/(Quarterly!K5-Quarterly!G5)</f>
        <v>0.326149151249285</v>
      </c>
      <c r="C13" s="7" t="s">
        <v>185</v>
      </c>
    </row>
    <row r="14" customFormat="false" ht="15" hidden="false" customHeight="false" outlineLevel="0" collapsed="false">
      <c r="A14" s="0" t="s">
        <v>186</v>
      </c>
      <c r="B14" s="30" t="n">
        <f aca="false">B5/Quarterly!I5</f>
        <v>0.101740899841736</v>
      </c>
      <c r="C14" s="7"/>
    </row>
    <row r="15" customFormat="false" ht="15" hidden="false" customHeight="false" outlineLevel="0" collapsed="false">
      <c r="A15" s="0" t="s">
        <v>187</v>
      </c>
      <c r="B15" s="27" t="n">
        <f aca="false">B10+B11+Assumptions!$B$41+Assumptions!$B$42</f>
        <v>2.77381842456609</v>
      </c>
      <c r="C15" s="7" t="s">
        <v>188</v>
      </c>
    </row>
    <row r="16" customFormat="false" ht="15" hidden="false" customHeight="false" outlineLevel="0" collapsed="false">
      <c r="A16" s="0" t="s">
        <v>189</v>
      </c>
      <c r="B16" s="30" t="n">
        <f aca="false">B15/Assumptions!$B$20-1</f>
        <v>0.849212283044059</v>
      </c>
      <c r="C16" s="7"/>
    </row>
    <row r="18" customFormat="false" ht="15" hidden="false" customHeight="false" outlineLevel="0" collapsed="false">
      <c r="A18" s="12" t="s">
        <v>190</v>
      </c>
    </row>
    <row r="19" customFormat="false" ht="15" hidden="false" customHeight="false" outlineLevel="0" collapsed="false">
      <c r="A19" s="12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7" min="2" style="0" width="12"/>
  </cols>
  <sheetData>
    <row r="1" customFormat="false" ht="15" hidden="false" customHeight="false" outlineLevel="0" collapsed="false">
      <c r="A1" s="1" t="s">
        <v>192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193</v>
      </c>
      <c r="C4" s="4" t="s">
        <v>194</v>
      </c>
      <c r="D4" s="4" t="s">
        <v>195</v>
      </c>
      <c r="E4" s="4" t="s">
        <v>196</v>
      </c>
      <c r="F4" s="4" t="s">
        <v>197</v>
      </c>
      <c r="G4" s="4" t="s">
        <v>198</v>
      </c>
    </row>
    <row r="5" customFormat="false" ht="15" hidden="false" customHeight="false" outlineLevel="0" collapsed="false">
      <c r="A5" s="22" t="s">
        <v>199</v>
      </c>
      <c r="B5" s="31"/>
      <c r="C5" s="31"/>
      <c r="D5" s="32" t="n">
        <f aca="false">Assumptions!$B$20</f>
        <v>1.5</v>
      </c>
      <c r="E5" s="31" t="n">
        <f aca="false">DataCentre!$B$15</f>
        <v>2.77381842456609</v>
      </c>
      <c r="F5" s="31" t="n">
        <f aca="false">E5*(1+Assumptions!$B$46)</f>
        <v>4.02203671562083</v>
      </c>
      <c r="G5" s="31" t="n">
        <f aca="false">F5*(1+Assumptions!$B$47)</f>
        <v>5.22864773030708</v>
      </c>
    </row>
    <row r="6" customFormat="false" ht="15" hidden="false" customHeight="false" outlineLevel="0" collapsed="false">
      <c r="A6" s="22" t="s">
        <v>200</v>
      </c>
      <c r="B6" s="31"/>
      <c r="C6" s="31"/>
      <c r="D6" s="31" t="n">
        <f aca="false">D7-D5</f>
        <v>16.182</v>
      </c>
      <c r="E6" s="31" t="n">
        <f aca="false">E7-E5</f>
        <v>19.2641815754339</v>
      </c>
      <c r="F6" s="31" t="n">
        <f aca="false">E6*(1+Assumptions!$B$48)</f>
        <v>20.7089951935915</v>
      </c>
      <c r="G6" s="31" t="n">
        <f aca="false">F6*(1+Assumptions!$B$49)</f>
        <v>21.1231750974633</v>
      </c>
    </row>
    <row r="7" customFormat="false" ht="15" hidden="false" customHeight="false" outlineLevel="0" collapsed="false">
      <c r="A7" s="5" t="s">
        <v>148</v>
      </c>
      <c r="B7" s="33" t="n">
        <v>20.028</v>
      </c>
      <c r="C7" s="33" t="n">
        <v>15.641</v>
      </c>
      <c r="D7" s="33" t="n">
        <v>17.682</v>
      </c>
      <c r="E7" s="31" t="n">
        <f aca="false">SUM(Quarterly!J5:M5)</f>
        <v>22.038</v>
      </c>
      <c r="F7" s="31" t="n">
        <f aca="false">F5+F6</f>
        <v>24.7310319092123</v>
      </c>
      <c r="G7" s="31" t="n">
        <f aca="false">G5+G6</f>
        <v>26.3518228277704</v>
      </c>
    </row>
    <row r="8" customFormat="false" ht="15" hidden="false" customHeight="false" outlineLevel="0" collapsed="false">
      <c r="A8" s="22" t="s">
        <v>201</v>
      </c>
      <c r="B8" s="23"/>
      <c r="C8" s="23"/>
      <c r="D8" s="23" t="n">
        <f aca="false">D7/C7-1</f>
        <v>0.130490377853078</v>
      </c>
      <c r="E8" s="23" t="n">
        <f aca="false">E7/D7-1</f>
        <v>0.246352222599254</v>
      </c>
      <c r="F8" s="23" t="n">
        <f aca="false">F7/E7-1</f>
        <v>0.122199469516847</v>
      </c>
      <c r="G8" s="23" t="n">
        <f aca="false">G7/F7-1</f>
        <v>0.0655367282897055</v>
      </c>
    </row>
    <row r="9" customFormat="false" ht="15" hidden="false" customHeight="false" outlineLevel="0" collapsed="false">
      <c r="A9" s="22" t="s">
        <v>202</v>
      </c>
      <c r="B9" s="23"/>
      <c r="C9" s="23"/>
      <c r="D9" s="23" t="n">
        <f aca="false">D5/D7</f>
        <v>0.0848320325755005</v>
      </c>
      <c r="E9" s="23" t="n">
        <f aca="false">E5/E7</f>
        <v>0.125865252044926</v>
      </c>
      <c r="F9" s="23" t="n">
        <f aca="false">F5/F7</f>
        <v>0.162631172463233</v>
      </c>
      <c r="G9" s="23" t="n">
        <f aca="false">G5/G7</f>
        <v>0.198416927909707</v>
      </c>
    </row>
    <row r="10" customFormat="false" ht="15" hidden="false" customHeight="false" outlineLevel="0" collapsed="false">
      <c r="A10" s="22" t="s">
        <v>203</v>
      </c>
      <c r="B10" s="34" t="n">
        <v>0.68758737767126</v>
      </c>
      <c r="C10" s="34" t="n">
        <v>0.581420625279714</v>
      </c>
      <c r="D10" s="34" t="n">
        <v>0.570240922972515</v>
      </c>
      <c r="E10" s="23"/>
      <c r="F10" s="23"/>
      <c r="G10" s="23"/>
    </row>
    <row r="11" customFormat="false" ht="15" hidden="false" customHeight="false" outlineLevel="0" collapsed="false">
      <c r="A11" s="5" t="s">
        <v>152</v>
      </c>
      <c r="B11" s="33" t="n">
        <v>10.14</v>
      </c>
      <c r="C11" s="33" t="n">
        <v>5.465</v>
      </c>
      <c r="D11" s="33" t="n">
        <v>6.023</v>
      </c>
      <c r="E11" s="31" t="n">
        <f aca="false">SUM(Quarterly!J9:M9)</f>
        <v>9.23</v>
      </c>
      <c r="F11" s="31" t="n">
        <f aca="false">E11+Assumptions!$B$43*(F7-E7)-Assumptions!$B$44</f>
        <v>11.0497739319092</v>
      </c>
      <c r="G11" s="31" t="n">
        <f aca="false">F11+Assumptions!$B$43*(G7-F7)-Assumptions!$B$45</f>
        <v>12.1653671208278</v>
      </c>
    </row>
    <row r="12" customFormat="false" ht="15" hidden="false" customHeight="false" outlineLevel="0" collapsed="false">
      <c r="A12" s="22" t="s">
        <v>204</v>
      </c>
      <c r="B12" s="23" t="n">
        <f aca="false">B11/B7</f>
        <v>0.506291192330737</v>
      </c>
      <c r="C12" s="23" t="n">
        <f aca="false">C11/C7</f>
        <v>0.349402212134774</v>
      </c>
      <c r="D12" s="23" t="n">
        <f aca="false">D11/D7</f>
        <v>0.340628888134826</v>
      </c>
      <c r="E12" s="23" t="n">
        <f aca="false">E11/E7</f>
        <v>0.418822034667393</v>
      </c>
      <c r="F12" s="23" t="n">
        <f aca="false">F11/F7</f>
        <v>0.446797932753998</v>
      </c>
      <c r="G12" s="23" t="n">
        <f aca="false">G11/G7</f>
        <v>0.46165182577076</v>
      </c>
    </row>
    <row r="13" customFormat="false" ht="15" hidden="false" customHeight="false" outlineLevel="0" collapsed="false">
      <c r="A13" s="22" t="s">
        <v>205</v>
      </c>
      <c r="B13" s="31"/>
      <c r="C13" s="31"/>
      <c r="D13" s="31"/>
      <c r="E13" s="31" t="n">
        <f aca="false">4*Assumptions!$B$35</f>
        <v>-0.32</v>
      </c>
      <c r="F13" s="31" t="n">
        <f aca="false">4*Assumptions!$B$35</f>
        <v>-0.32</v>
      </c>
      <c r="G13" s="31" t="n">
        <f aca="false">4*Assumptions!$B$35</f>
        <v>-0.32</v>
      </c>
    </row>
    <row r="14" customFormat="false" ht="15" hidden="false" customHeight="false" outlineLevel="0" collapsed="false">
      <c r="A14" s="22" t="s">
        <v>206</v>
      </c>
      <c r="B14" s="31"/>
      <c r="C14" s="31"/>
      <c r="D14" s="31"/>
      <c r="E14" s="31" t="n">
        <f aca="false">(E11+E13)*(1-Assumptions!$B$36)</f>
        <v>7.7517</v>
      </c>
      <c r="F14" s="31" t="n">
        <f aca="false">(F11+F13)*(1-Assumptions!$B$36)</f>
        <v>9.33490332076102</v>
      </c>
      <c r="G14" s="31" t="n">
        <f aca="false">(G11+G13)*(1-Assumptions!$B$36)</f>
        <v>10.3054693951202</v>
      </c>
    </row>
    <row r="15" customFormat="false" ht="15" hidden="false" customHeight="false" outlineLevel="0" collapsed="false">
      <c r="A15" s="5" t="s">
        <v>207</v>
      </c>
      <c r="B15" s="25" t="n">
        <v>9.41</v>
      </c>
      <c r="C15" s="25" t="n">
        <v>5.2</v>
      </c>
      <c r="D15" s="25" t="n">
        <v>5.45</v>
      </c>
      <c r="E15" s="26" t="n">
        <f aca="false">SUM(Quarterly!J11:M11)</f>
        <v>8.50286956521739</v>
      </c>
      <c r="F15" s="26" t="n">
        <f aca="false">F14/Assumptions!$B$10</f>
        <v>10.1466340443055</v>
      </c>
      <c r="G15" s="26" t="n">
        <f aca="false">G14/Assumptions!$B$10</f>
        <v>11.2015971686089</v>
      </c>
    </row>
    <row r="16" customFormat="false" ht="15" hidden="false" customHeight="false" outlineLevel="0" collapsed="false">
      <c r="A16" s="22" t="s">
        <v>208</v>
      </c>
      <c r="B16" s="23"/>
      <c r="C16" s="23"/>
      <c r="D16" s="23" t="n">
        <f aca="false">D15/C15-1</f>
        <v>0.0480769230769231</v>
      </c>
      <c r="E16" s="23" t="n">
        <f aca="false">E15/D15-1</f>
        <v>0.560159553250897</v>
      </c>
      <c r="F16" s="23" t="n">
        <f aca="false">F15/E15-1</f>
        <v>0.19331879272995</v>
      </c>
      <c r="G16" s="23" t="n">
        <f aca="false">G15/F15-1</f>
        <v>0.103971732862041</v>
      </c>
    </row>
    <row r="17" customFormat="false" ht="15" hidden="false" customHeight="false" outlineLevel="0" collapsed="false">
      <c r="A17" s="22" t="s">
        <v>209</v>
      </c>
      <c r="B17" s="35" t="n">
        <f aca="false">Assumptions!$B$7/B15</f>
        <v>31.3390010626993</v>
      </c>
      <c r="C17" s="35" t="n">
        <f aca="false">Assumptions!$B$7/C15</f>
        <v>56.7115384615385</v>
      </c>
      <c r="D17" s="35" t="n">
        <f aca="false">Assumptions!$B$7/D15</f>
        <v>54.1100917431193</v>
      </c>
      <c r="E17" s="35" t="n">
        <f aca="false">Assumptions!$B$7/E15</f>
        <v>34.6824090077007</v>
      </c>
      <c r="F17" s="35" t="n">
        <f aca="false">Assumptions!$B$7/F15</f>
        <v>29.0638253742388</v>
      </c>
      <c r="G17" s="35" t="n">
        <f aca="false">Assumptions!$B$7/G15</f>
        <v>26.3266028550305</v>
      </c>
    </row>
    <row r="18" customFormat="false" ht="15" hidden="false" customHeight="false" outlineLevel="0" collapsed="false">
      <c r="A18" s="22" t="s">
        <v>155</v>
      </c>
      <c r="B18" s="33" t="n">
        <v>0.925</v>
      </c>
      <c r="C18" s="33" t="n">
        <v>1.508</v>
      </c>
      <c r="D18" s="33" t="n">
        <v>1.918</v>
      </c>
      <c r="E18" s="31" t="n">
        <f aca="false">(Assumptions!$B$28+Assumptions!$B$29)/2</f>
        <v>2.3</v>
      </c>
      <c r="F18" s="31" t="n">
        <f aca="false">E18+Assumptions!$B$44</f>
        <v>2.5</v>
      </c>
      <c r="G18" s="31" t="n">
        <f aca="false">F18+Assumptions!$B$45</f>
        <v>2.6</v>
      </c>
    </row>
    <row r="19" customFormat="false" ht="15" hidden="false" customHeight="false" outlineLevel="0" collapsed="false">
      <c r="A19" s="22" t="s">
        <v>156</v>
      </c>
      <c r="B19" s="33" t="n">
        <v>2.797</v>
      </c>
      <c r="C19" s="33" t="n">
        <v>4.82</v>
      </c>
      <c r="D19" s="33" t="n">
        <v>4.55</v>
      </c>
      <c r="E19" s="31" t="n">
        <f aca="false">(Assumptions!$B$26+Assumptions!$B$27)/2</f>
        <v>2.5</v>
      </c>
      <c r="F19" s="31"/>
      <c r="G19" s="31"/>
    </row>
    <row r="20" customFormat="false" ht="15" hidden="false" customHeight="false" outlineLevel="0" collapsed="false">
      <c r="A20" s="22" t="s">
        <v>157</v>
      </c>
      <c r="B20" s="33" t="n">
        <v>8.72</v>
      </c>
      <c r="C20" s="33" t="n">
        <v>6.318</v>
      </c>
      <c r="D20" s="33" t="n">
        <v>7.153</v>
      </c>
      <c r="E20" s="31"/>
      <c r="F20" s="31"/>
      <c r="G20" s="31"/>
    </row>
    <row r="21" customFormat="false" ht="15" hidden="false" customHeight="false" outlineLevel="0" collapsed="false">
      <c r="A21" s="22" t="s">
        <v>158</v>
      </c>
      <c r="B21" s="33" t="n">
        <v>0</v>
      </c>
      <c r="C21" s="33" t="n">
        <v>0</v>
      </c>
      <c r="D21" s="33" t="n">
        <v>0.335</v>
      </c>
      <c r="E21" s="31"/>
      <c r="F21" s="31"/>
      <c r="G21" s="31"/>
    </row>
    <row r="22" customFormat="false" ht="15" hidden="false" customHeight="false" outlineLevel="0" collapsed="false">
      <c r="A22" s="5" t="s">
        <v>210</v>
      </c>
      <c r="B22" s="31" t="n">
        <f aca="false">B20-B19+B21</f>
        <v>5.923</v>
      </c>
      <c r="C22" s="31" t="n">
        <f aca="false">C20-C19+C21</f>
        <v>1.498</v>
      </c>
      <c r="D22" s="31" t="n">
        <f aca="false">D20-D19+D21</f>
        <v>2.938</v>
      </c>
      <c r="E22" s="31"/>
      <c r="F22" s="31"/>
      <c r="G22" s="31"/>
    </row>
    <row r="23" customFormat="false" ht="15" hidden="false" customHeight="false" outlineLevel="0" collapsed="false">
      <c r="A23" s="22" t="s">
        <v>211</v>
      </c>
      <c r="B23" s="25" t="n">
        <v>4.69</v>
      </c>
      <c r="C23" s="25" t="n">
        <v>5.26</v>
      </c>
      <c r="D23" s="25" t="n">
        <v>5.5</v>
      </c>
      <c r="E23" s="26"/>
      <c r="F23" s="26"/>
      <c r="G23" s="26"/>
    </row>
    <row r="26" customFormat="false" ht="15" hidden="false" customHeight="false" outlineLevel="0" collapsed="false">
      <c r="A26" s="12" t="s">
        <v>212</v>
      </c>
    </row>
    <row r="27" customFormat="false" ht="15" hidden="false" customHeight="false" outlineLevel="0" collapsed="false">
      <c r="A27" s="12" t="s">
        <v>213</v>
      </c>
    </row>
    <row r="28" customFormat="false" ht="15" hidden="false" customHeight="false" outlineLevel="0" collapsed="false">
      <c r="A28" s="12" t="s">
        <v>214</v>
      </c>
    </row>
    <row r="29" customFormat="false" ht="15" hidden="false" customHeight="false" outlineLevel="0" collapsed="false">
      <c r="A29" s="12" t="s">
        <v>215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216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168</v>
      </c>
      <c r="B4" s="4" t="s">
        <v>3</v>
      </c>
      <c r="C4" s="4" t="s">
        <v>169</v>
      </c>
    </row>
    <row r="5" customFormat="false" ht="15" hidden="false" customHeight="false" outlineLevel="0" collapsed="false">
      <c r="A5" s="0" t="s">
        <v>217</v>
      </c>
      <c r="B5" s="28" t="n">
        <f aca="false">Financials!G15</f>
        <v>11.2015971686089</v>
      </c>
      <c r="C5" s="7" t="s">
        <v>218</v>
      </c>
    </row>
    <row r="6" customFormat="false" ht="15" hidden="false" customHeight="false" outlineLevel="0" collapsed="false">
      <c r="A6" s="0" t="s">
        <v>219</v>
      </c>
      <c r="B6" s="36" t="n">
        <f aca="false">Assumptions!$B$50</f>
        <v>25</v>
      </c>
      <c r="C6" s="7" t="s">
        <v>220</v>
      </c>
    </row>
    <row r="7" customFormat="false" ht="15" hidden="false" customHeight="false" outlineLevel="0" collapsed="false">
      <c r="A7" s="5" t="s">
        <v>221</v>
      </c>
      <c r="B7" s="37" t="n">
        <f aca="false">B5*B6</f>
        <v>280.039929215222</v>
      </c>
      <c r="C7" s="7" t="s">
        <v>222</v>
      </c>
    </row>
    <row r="8" customFormat="false" ht="15" hidden="false" customHeight="false" outlineLevel="0" collapsed="false">
      <c r="A8" s="0" t="s">
        <v>10</v>
      </c>
      <c r="B8" s="28" t="n">
        <f aca="false">Assumptions!$B$7</f>
        <v>294.9</v>
      </c>
      <c r="C8" s="7" t="s">
        <v>11</v>
      </c>
    </row>
    <row r="9" customFormat="false" ht="15" hidden="false" customHeight="false" outlineLevel="0" collapsed="false">
      <c r="A9" s="0" t="s">
        <v>14</v>
      </c>
      <c r="B9" s="30" t="n">
        <f aca="false">B7/B8-1</f>
        <v>-0.0503902027289866</v>
      </c>
      <c r="C9" s="7" t="s">
        <v>223</v>
      </c>
    </row>
    <row r="10" customFormat="false" ht="15" hidden="false" customHeight="false" outlineLevel="0" collapsed="false">
      <c r="A10" s="0" t="s">
        <v>15</v>
      </c>
      <c r="B10" s="28" t="n">
        <f aca="false">Scenarios!K12</f>
        <v>274.115277181093</v>
      </c>
      <c r="C10" s="7" t="s">
        <v>224</v>
      </c>
    </row>
    <row r="11" customFormat="false" ht="23.85" hidden="false" customHeight="false" outlineLevel="0" collapsed="false">
      <c r="A11" s="5" t="s">
        <v>225</v>
      </c>
      <c r="B11" s="38" t="str">
        <f aca="false">IF(B9&gt;0.15,"LONG",IF(B9&lt;-0.15,"SHORT","NO CALL"))</f>
        <v>NO CALL</v>
      </c>
      <c r="C11" s="7" t="s">
        <v>226</v>
      </c>
    </row>
    <row r="12" customFormat="false" ht="15" hidden="false" customHeight="false" outlineLevel="0" collapsed="false">
      <c r="C12" s="7"/>
    </row>
    <row r="13" customFormat="false" ht="15" hidden="false" customHeight="false" outlineLevel="0" collapsed="false">
      <c r="A13" s="0" t="s">
        <v>227</v>
      </c>
      <c r="B13" s="39" t="n">
        <f aca="false">Assumptions!$B$7*Assumptions!$B$10</f>
        <v>271.308</v>
      </c>
      <c r="C13" s="7"/>
    </row>
    <row r="14" customFormat="false" ht="15" hidden="false" customHeight="false" outlineLevel="0" collapsed="false">
      <c r="A14" s="0" t="s">
        <v>228</v>
      </c>
      <c r="B14" s="40" t="n">
        <f aca="false">Assumptions!$B$12-Assumptions!$B$11</f>
        <v>7.051</v>
      </c>
      <c r="C14" s="7" t="s">
        <v>229</v>
      </c>
    </row>
    <row r="15" customFormat="false" ht="15" hidden="false" customHeight="false" outlineLevel="0" collapsed="false">
      <c r="A15" s="0" t="s">
        <v>230</v>
      </c>
      <c r="B15" s="39" t="n">
        <f aca="false">B13+B14</f>
        <v>278.359</v>
      </c>
      <c r="C15" s="7"/>
    </row>
    <row r="16" customFormat="false" ht="15" hidden="false" customHeight="false" outlineLevel="0" collapsed="false">
      <c r="A16" s="0" t="s">
        <v>231</v>
      </c>
      <c r="B16" s="41" t="n">
        <f aca="false">4*Assumptions!$B$13/Assumptions!$B$7</f>
        <v>0.0206171583587657</v>
      </c>
      <c r="C16" s="7" t="s">
        <v>232</v>
      </c>
    </row>
    <row r="17" customFormat="false" ht="15" hidden="false" customHeight="false" outlineLevel="0" collapsed="false">
      <c r="A17" s="0" t="s">
        <v>233</v>
      </c>
      <c r="B17" s="30" t="n">
        <f aca="false">Assumptions!$B$7/Assumptions!$B$9-1</f>
        <v>0.605072660969902</v>
      </c>
      <c r="C17" s="7"/>
    </row>
    <row r="18" customFormat="false" ht="15" hidden="false" customHeight="false" outlineLevel="0" collapsed="false">
      <c r="A18" s="0" t="s">
        <v>234</v>
      </c>
      <c r="B18" s="30" t="n">
        <f aca="false">1-Assumptions!$B$7/Assumptions!$B$8</f>
        <v>0.117145166601802</v>
      </c>
      <c r="C18" s="7"/>
    </row>
    <row r="19" customFormat="false" ht="15" hidden="false" customHeight="false" outlineLevel="0" collapsed="false">
      <c r="C19" s="7"/>
    </row>
    <row r="20" customFormat="false" ht="15" hidden="false" customHeight="false" outlineLevel="0" collapsed="false">
      <c r="A20" s="0" t="s">
        <v>235</v>
      </c>
      <c r="B20" s="42" t="n">
        <f aca="false">Financials!E17</f>
        <v>34.6824090077007</v>
      </c>
      <c r="C20" s="7"/>
    </row>
    <row r="21" customFormat="false" ht="15" hidden="false" customHeight="false" outlineLevel="0" collapsed="false">
      <c r="A21" s="0" t="s">
        <v>236</v>
      </c>
      <c r="B21" s="42" t="n">
        <f aca="false">Financials!F17</f>
        <v>29.0638253742388</v>
      </c>
      <c r="C21" s="7"/>
    </row>
    <row r="22" customFormat="false" ht="15" hidden="false" customHeight="false" outlineLevel="0" collapsed="false">
      <c r="A22" s="0" t="s">
        <v>237</v>
      </c>
      <c r="B22" s="42" t="n">
        <f aca="false">Assumptions!$B$7/Assumptions!$B$15</f>
        <v>27.7161654135338</v>
      </c>
      <c r="C22" s="7" t="s">
        <v>238</v>
      </c>
    </row>
    <row r="23" customFormat="false" ht="15" hidden="false" customHeight="false" outlineLevel="0" collapsed="false">
      <c r="A23" s="0" t="s">
        <v>239</v>
      </c>
      <c r="B23" s="42" t="n">
        <f aca="false">Financials!G17</f>
        <v>26.3266028550305</v>
      </c>
      <c r="C23" s="7"/>
    </row>
    <row r="24" customFormat="false" ht="15" hidden="false" customHeight="false" outlineLevel="0" collapsed="false">
      <c r="A24" s="0" t="s">
        <v>240</v>
      </c>
      <c r="B24" s="30" t="n">
        <f aca="false">Financials!F15/Assumptions!$B$15-1</f>
        <v>-0.0463689807983598</v>
      </c>
      <c r="C24" s="7"/>
    </row>
    <row r="25" customFormat="false" ht="15" hidden="false" customHeight="false" outlineLevel="0" collapsed="false">
      <c r="C25" s="7"/>
    </row>
    <row r="26" customFormat="false" ht="15" hidden="false" customHeight="false" outlineLevel="0" collapsed="false">
      <c r="A26" s="0" t="s">
        <v>241</v>
      </c>
      <c r="B26" s="28" t="n">
        <f aca="false">Assumptions!$B$7/Assumptions!$B$50</f>
        <v>11.796</v>
      </c>
      <c r="C26" s="7" t="s">
        <v>242</v>
      </c>
    </row>
    <row r="27" customFormat="false" ht="15" hidden="false" customHeight="false" outlineLevel="0" collapsed="false">
      <c r="A27" s="0" t="s">
        <v>243</v>
      </c>
      <c r="B27" s="40" t="n">
        <f aca="false">B26*Assumptions!$B$10/(1-Assumptions!$B$36)-4*Assumptions!$B$35</f>
        <v>12.7939310344828</v>
      </c>
      <c r="C27" s="7"/>
    </row>
    <row r="28" customFormat="false" ht="15" hidden="false" customHeight="false" outlineLevel="0" collapsed="false">
      <c r="A28" s="0" t="s">
        <v>244</v>
      </c>
      <c r="B28" s="40" t="n">
        <f aca="false">Financials!F7+(B27-Financials!F11+Assumptions!$B$45)/Assumptions!$B$43</f>
        <v>27.189908045977</v>
      </c>
      <c r="C28" s="7" t="s">
        <v>245</v>
      </c>
    </row>
    <row r="29" customFormat="false" ht="15" hidden="false" customHeight="false" outlineLevel="0" collapsed="false">
      <c r="A29" s="0" t="s">
        <v>246</v>
      </c>
      <c r="B29" s="30" t="n">
        <f aca="false">B28/Financials!B7-1</f>
        <v>0.357594769621381</v>
      </c>
      <c r="C29" s="7" t="s">
        <v>247</v>
      </c>
    </row>
    <row r="30" customFormat="false" ht="15" hidden="false" customHeight="false" outlineLevel="0" collapsed="false">
      <c r="A30" s="0" t="s">
        <v>248</v>
      </c>
      <c r="B30" s="30" t="n">
        <f aca="false">Financials!B10</f>
        <v>0.68758737767126</v>
      </c>
      <c r="C30" s="7" t="s">
        <v>249</v>
      </c>
    </row>
    <row r="31" customFormat="false" ht="23.85" hidden="false" customHeight="false" outlineLevel="0" collapsed="false">
      <c r="A31" s="0" t="s">
        <v>250</v>
      </c>
      <c r="B31" s="40" t="n">
        <f aca="false">9.5+(Financials!E7-22)*0.5</f>
        <v>9.519</v>
      </c>
      <c r="C31" s="7" t="s">
        <v>251</v>
      </c>
    </row>
    <row r="32" customFormat="false" ht="15" hidden="false" customHeight="false" outlineLevel="0" collapsed="false">
      <c r="A32" s="0" t="s">
        <v>252</v>
      </c>
      <c r="B32" s="28" t="n">
        <f aca="false">B31/Assumptions!$B$10</f>
        <v>10.3467391304348</v>
      </c>
      <c r="C32" s="7"/>
    </row>
    <row r="33" customFormat="false" ht="15" hidden="false" customHeight="false" outlineLevel="0" collapsed="false">
      <c r="A33" s="0" t="s">
        <v>253</v>
      </c>
      <c r="B33" s="41" t="n">
        <f aca="false">B32/Assumptions!$B$7</f>
        <v>0.0350855853863506</v>
      </c>
      <c r="C33" s="7" t="s">
        <v>254</v>
      </c>
    </row>
    <row r="34" customFormat="false" ht="15" hidden="false" customHeight="false" outlineLevel="0" collapsed="false">
      <c r="A34" s="0" t="s">
        <v>255</v>
      </c>
      <c r="B34" s="28" t="n">
        <f aca="false">B7/1.15</f>
        <v>243.51298192628</v>
      </c>
      <c r="C34" s="7" t="s">
        <v>256</v>
      </c>
    </row>
    <row r="35" customFormat="false" ht="15" hidden="false" customHeight="false" outlineLevel="0" collapsed="false">
      <c r="A35" s="0" t="s">
        <v>257</v>
      </c>
      <c r="B35" s="30" t="n">
        <f aca="false">Financials!G9</f>
        <v>0.198416927909707</v>
      </c>
      <c r="C35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2" min="2" style="0" width="12"/>
  </cols>
  <sheetData>
    <row r="1" customFormat="false" ht="15" hidden="false" customHeight="false" outlineLevel="0" collapsed="false">
      <c r="A1" s="1" t="s">
        <v>258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259</v>
      </c>
      <c r="B4" s="4" t="s">
        <v>260</v>
      </c>
      <c r="C4" s="4" t="s">
        <v>261</v>
      </c>
      <c r="D4" s="4" t="s">
        <v>262</v>
      </c>
      <c r="E4" s="4" t="s">
        <v>263</v>
      </c>
      <c r="F4" s="4" t="s">
        <v>264</v>
      </c>
      <c r="G4" s="4" t="s">
        <v>265</v>
      </c>
      <c r="H4" s="4" t="s">
        <v>266</v>
      </c>
      <c r="I4" s="4" t="s">
        <v>267</v>
      </c>
      <c r="J4" s="4" t="s">
        <v>268</v>
      </c>
      <c r="K4" s="4" t="s">
        <v>269</v>
      </c>
      <c r="L4" s="4" t="s">
        <v>270</v>
      </c>
    </row>
    <row r="5" customFormat="false" ht="15" hidden="false" customHeight="false" outlineLevel="0" collapsed="false">
      <c r="A5" s="5" t="s">
        <v>271</v>
      </c>
      <c r="B5" s="18" t="n">
        <v>0.25</v>
      </c>
      <c r="C5" s="18" t="n">
        <v>0.15</v>
      </c>
      <c r="D5" s="18" t="n">
        <v>-0.08</v>
      </c>
      <c r="E5" s="18" t="n">
        <v>-0.02</v>
      </c>
      <c r="F5" s="40" t="n">
        <f aca="false">Financials!$E$5*(1+B5)+Financials!$E$6*(1+D5)</f>
        <v>21.1903200801068</v>
      </c>
      <c r="G5" s="40" t="n">
        <f aca="false">Financials!$E$5*(1+B5)*(1+C5)+Financials!$E$6*(1+D5)*(1+E5)</f>
        <v>21.355950093725</v>
      </c>
      <c r="H5" s="40" t="n">
        <f aca="false">Financials!$E$11+Assumptions!$B$43*(G5-Financials!$E$7)-Assumptions!$B$44-Assumptions!$B$45</f>
        <v>8.41846257029373</v>
      </c>
      <c r="I5" s="28" t="n">
        <f aca="false">(H5+4*Assumptions!$B$35)*(1-Assumptions!$B$36)/Assumptions!$B$10</f>
        <v>7.65832873495168</v>
      </c>
      <c r="J5" s="19" t="n">
        <v>22</v>
      </c>
      <c r="K5" s="28" t="n">
        <f aca="false">I5*J5</f>
        <v>168.483232168937</v>
      </c>
      <c r="L5" s="43" t="n">
        <f aca="false">K5/Assumptions!$B$7-1</f>
        <v>-0.428676730522425</v>
      </c>
    </row>
    <row r="6" customFormat="false" ht="15" hidden="false" customHeight="false" outlineLevel="0" collapsed="false">
      <c r="A6" s="5" t="s">
        <v>272</v>
      </c>
      <c r="B6" s="44" t="n">
        <f aca="false">Assumptions!$B$46</f>
        <v>0.45</v>
      </c>
      <c r="C6" s="44" t="n">
        <f aca="false">Assumptions!$B$47</f>
        <v>0.3</v>
      </c>
      <c r="D6" s="44" t="n">
        <f aca="false">Assumptions!$B$48</f>
        <v>0.075</v>
      </c>
      <c r="E6" s="44" t="n">
        <f aca="false">Assumptions!$B$49</f>
        <v>0.02</v>
      </c>
      <c r="F6" s="40" t="n">
        <f aca="false">Financials!$E$5*(1+B6)+Financials!$E$6*(1+D6)</f>
        <v>24.7310319092123</v>
      </c>
      <c r="G6" s="40" t="n">
        <f aca="false">Financials!$E$5*(1+B6)*(1+C6)+Financials!$E$6*(1+D6)*(1+E6)</f>
        <v>26.3518228277704</v>
      </c>
      <c r="H6" s="40" t="n">
        <f aca="false">Financials!$E$11+Assumptions!$B$43*(G6-Financials!$E$7)-Assumptions!$B$44-Assumptions!$B$45</f>
        <v>12.1653671208278</v>
      </c>
      <c r="I6" s="28" t="n">
        <f aca="false">(H6+4*Assumptions!$B$35)*(1-Assumptions!$B$36)/Assumptions!$B$10</f>
        <v>11.2015971686089</v>
      </c>
      <c r="J6" s="45" t="n">
        <f aca="false">Assumptions!$B$50</f>
        <v>25</v>
      </c>
      <c r="K6" s="28" t="n">
        <f aca="false">I6*J6</f>
        <v>280.039929215222</v>
      </c>
      <c r="L6" s="43" t="n">
        <f aca="false">K6/Assumptions!$B$7-1</f>
        <v>-0.0503902027289868</v>
      </c>
    </row>
    <row r="7" customFormat="false" ht="15" hidden="false" customHeight="false" outlineLevel="0" collapsed="false">
      <c r="A7" s="5" t="s">
        <v>273</v>
      </c>
      <c r="B7" s="18" t="n">
        <v>0.6</v>
      </c>
      <c r="C7" s="18" t="n">
        <v>0.4</v>
      </c>
      <c r="D7" s="18" t="n">
        <v>0.12</v>
      </c>
      <c r="E7" s="18" t="n">
        <v>0.06</v>
      </c>
      <c r="F7" s="40" t="n">
        <f aca="false">Financials!$E$5*(1+B7)+Financials!$E$6*(1+D7)</f>
        <v>26.0139928437917</v>
      </c>
      <c r="G7" s="40" t="n">
        <f aca="false">Financials!$E$5*(1+B7)*(1+C7)+Financials!$E$6*(1+D7)*(1+E7)</f>
        <v>29.0837896373832</v>
      </c>
      <c r="H7" s="40" t="n">
        <f aca="false">Financials!$E$11+Assumptions!$B$43*(G7-Financials!$E$7)-Assumptions!$B$44-Assumptions!$B$45</f>
        <v>14.2143422280374</v>
      </c>
      <c r="I7" s="28" t="n">
        <f aca="false">(H7+4*Assumptions!$B$35)*(1-Assumptions!$B$36)/Assumptions!$B$10</f>
        <v>13.1392149330354</v>
      </c>
      <c r="J7" s="19" t="n">
        <v>28</v>
      </c>
      <c r="K7" s="28" t="n">
        <f aca="false">I7*J7</f>
        <v>367.89801812499</v>
      </c>
      <c r="L7" s="43" t="n">
        <f aca="false">K7/Assumptions!$B$7-1</f>
        <v>0.247534819006409</v>
      </c>
    </row>
    <row r="9" customFormat="false" ht="15" hidden="false" customHeight="false" outlineLevel="0" collapsed="false">
      <c r="B9" s="5" t="s">
        <v>271</v>
      </c>
      <c r="C9" s="5" t="s">
        <v>272</v>
      </c>
      <c r="D9" s="5" t="s">
        <v>273</v>
      </c>
    </row>
    <row r="10" customFormat="false" ht="15" hidden="false" customHeight="false" outlineLevel="0" collapsed="false">
      <c r="A10" s="5" t="s">
        <v>274</v>
      </c>
      <c r="B10" s="46" t="n">
        <v>0.25</v>
      </c>
      <c r="C10" s="46" t="n">
        <v>0.5</v>
      </c>
      <c r="D10" s="46" t="n">
        <v>0.25</v>
      </c>
      <c r="E10" s="43" t="n">
        <f aca="false">SUM(B10:D10)</f>
        <v>1</v>
      </c>
      <c r="F10" s="12" t="s">
        <v>275</v>
      </c>
    </row>
    <row r="12" customFormat="false" ht="15" hidden="false" customHeight="false" outlineLevel="0" collapsed="false">
      <c r="A12" s="5" t="s">
        <v>15</v>
      </c>
      <c r="K12" s="37" t="n">
        <f aca="false">B10*K5+C10*K6+D10*K7</f>
        <v>274.115277181093</v>
      </c>
      <c r="L12" s="30" t="n">
        <f aca="false">K12/Assumptions!$B$7-1</f>
        <v>-0.0704805792434974</v>
      </c>
    </row>
    <row r="14" customFormat="false" ht="15" hidden="false" customHeight="false" outlineLevel="0" collapsed="false">
      <c r="A14" s="11" t="s">
        <v>276</v>
      </c>
    </row>
    <row r="15" customFormat="false" ht="23.85" hidden="false" customHeight="false" outlineLevel="0" collapsed="false">
      <c r="A15" s="3" t="s">
        <v>259</v>
      </c>
      <c r="B15" s="4" t="s">
        <v>260</v>
      </c>
      <c r="C15" s="4" t="s">
        <v>261</v>
      </c>
      <c r="D15" s="4" t="s">
        <v>262</v>
      </c>
      <c r="E15" s="4" t="s">
        <v>263</v>
      </c>
      <c r="F15" s="4" t="s">
        <v>264</v>
      </c>
      <c r="G15" s="4" t="s">
        <v>265</v>
      </c>
      <c r="H15" s="4" t="s">
        <v>266</v>
      </c>
      <c r="I15" s="4" t="s">
        <v>267</v>
      </c>
      <c r="J15" s="4" t="s">
        <v>268</v>
      </c>
      <c r="K15" s="4" t="s">
        <v>269</v>
      </c>
      <c r="L15" s="4" t="s">
        <v>270</v>
      </c>
    </row>
    <row r="16" customFormat="false" ht="15" hidden="false" customHeight="false" outlineLevel="0" collapsed="false">
      <c r="A16" s="5" t="s">
        <v>277</v>
      </c>
      <c r="B16" s="30" t="n">
        <f aca="false">B5</f>
        <v>0.25</v>
      </c>
      <c r="C16" s="30" t="n">
        <f aca="false">C5</f>
        <v>0.15</v>
      </c>
      <c r="D16" s="44" t="n">
        <f aca="false">Assumptions!$B$48</f>
        <v>0.075</v>
      </c>
      <c r="E16" s="44" t="n">
        <f aca="false">Assumptions!$B$49</f>
        <v>0.02</v>
      </c>
      <c r="F16" s="40" t="n">
        <f aca="false">Financials!$E$5*(1+B16)+Financials!$E$6*(1+D16)</f>
        <v>24.1762682242991</v>
      </c>
      <c r="G16" s="40" t="n">
        <f aca="false">Financials!$E$5*(1+B16)*(1+C16)+Financials!$E$6*(1+D16)*(1+E16)</f>
        <v>25.110539082777</v>
      </c>
      <c r="H16" s="40" t="n">
        <f aca="false">Financials!$E$11+Assumptions!$B$43*(G16-Financials!$E$7)-Assumptions!$B$44-Assumptions!$B$45</f>
        <v>11.2344043120828</v>
      </c>
      <c r="I16" s="28" t="n">
        <f aca="false">(H16+4*Assumptions!$B$35)*(1-Assumptions!$B$36)/Assumptions!$B$10</f>
        <v>10.321230164687</v>
      </c>
      <c r="J16" s="45" t="n">
        <f aca="false">Assumptions!$B$50</f>
        <v>25</v>
      </c>
      <c r="K16" s="28" t="n">
        <f aca="false">I16*J16</f>
        <v>258.030754117174</v>
      </c>
      <c r="L16" s="43" t="n">
        <f aca="false">K16/Assumptions!$B$7-1</f>
        <v>-0.125022875153698</v>
      </c>
    </row>
    <row r="17" customFormat="false" ht="15" hidden="false" customHeight="false" outlineLevel="0" collapsed="false">
      <c r="A17" s="5" t="s">
        <v>278</v>
      </c>
      <c r="B17" s="30" t="n">
        <f aca="false">B7</f>
        <v>0.6</v>
      </c>
      <c r="C17" s="30" t="n">
        <f aca="false">C7</f>
        <v>0.4</v>
      </c>
      <c r="D17" s="44" t="n">
        <f aca="false">Assumptions!$B$48</f>
        <v>0.075</v>
      </c>
      <c r="E17" s="44" t="n">
        <f aca="false">Assumptions!$B$49</f>
        <v>0.02</v>
      </c>
      <c r="F17" s="40" t="n">
        <f aca="false">Financials!$E$5*(1+B17)+Financials!$E$6*(1+D17)</f>
        <v>25.1471046728972</v>
      </c>
      <c r="G17" s="40" t="n">
        <f aca="false">Financials!$E$5*(1+B17)*(1+C17)+Financials!$E$6*(1+D17)*(1+E17)</f>
        <v>27.3365283684913</v>
      </c>
      <c r="H17" s="40" t="n">
        <f aca="false">Financials!$E$11+Assumptions!$B$43*(G17-Financials!$E$7)-Assumptions!$B$44-Assumptions!$B$45</f>
        <v>12.9038962763685</v>
      </c>
      <c r="I17" s="28" t="n">
        <f aca="false">(H17+4*Assumptions!$B$35)*(1-Assumptions!$B$36)/Assumptions!$B$10</f>
        <v>11.8999888700441</v>
      </c>
      <c r="J17" s="45" t="n">
        <f aca="false">Assumptions!$B$50</f>
        <v>25</v>
      </c>
      <c r="K17" s="28" t="n">
        <f aca="false">I17*J17</f>
        <v>297.499721751103</v>
      </c>
      <c r="L17" s="43" t="n">
        <f aca="false">K17/Assumptions!$B$7-1</f>
        <v>0.008815604445924</v>
      </c>
    </row>
    <row r="18" customFormat="false" ht="15" hidden="false" customHeight="false" outlineLevel="0" collapsed="false">
      <c r="A18" s="5" t="s">
        <v>279</v>
      </c>
      <c r="B18" s="44" t="n">
        <f aca="false">Assumptions!$B$46</f>
        <v>0.45</v>
      </c>
      <c r="C18" s="44" t="n">
        <f aca="false">Assumptions!$B$47</f>
        <v>0.3</v>
      </c>
      <c r="D18" s="30" t="n">
        <f aca="false">D5</f>
        <v>-0.08</v>
      </c>
      <c r="E18" s="30" t="n">
        <f aca="false">E5</f>
        <v>-0.02</v>
      </c>
      <c r="F18" s="40" t="n">
        <f aca="false">Financials!$E$5*(1+B18)+Financials!$E$6*(1+D18)</f>
        <v>21.74508376502</v>
      </c>
      <c r="G18" s="40" t="n">
        <f aca="false">Financials!$E$5*(1+B18)*(1+C18)+Financials!$E$6*(1+D18)*(1+E18)</f>
        <v>22.5972338387183</v>
      </c>
      <c r="H18" s="40" t="n">
        <f aca="false">Financials!$E$11+Assumptions!$B$43*(G18-Financials!$E$7)-Assumptions!$B$44-Assumptions!$B$45</f>
        <v>9.34942537903872</v>
      </c>
      <c r="I18" s="28" t="n">
        <f aca="false">(H18+4*Assumptions!$B$35)*(1-Assumptions!$B$36)/Assumptions!$B$10</f>
        <v>8.53869573887357</v>
      </c>
      <c r="J18" s="45" t="n">
        <f aca="false">Assumptions!$B$50</f>
        <v>25</v>
      </c>
      <c r="K18" s="28" t="n">
        <f aca="false">I18*J18</f>
        <v>213.467393471839</v>
      </c>
      <c r="L18" s="43" t="n">
        <f aca="false">K18/Assumptions!$B$7-1</f>
        <v>-0.27613633953259</v>
      </c>
    </row>
    <row r="19" customFormat="false" ht="15" hidden="false" customHeight="false" outlineLevel="0" collapsed="false">
      <c r="A19" s="5" t="s">
        <v>280</v>
      </c>
      <c r="B19" s="44" t="n">
        <f aca="false">Assumptions!$B$46</f>
        <v>0.45</v>
      </c>
      <c r="C19" s="44" t="n">
        <f aca="false">Assumptions!$B$47</f>
        <v>0.3</v>
      </c>
      <c r="D19" s="30" t="n">
        <f aca="false">D7</f>
        <v>0.12</v>
      </c>
      <c r="E19" s="30" t="n">
        <f aca="false">E7</f>
        <v>0.06</v>
      </c>
      <c r="F19" s="40" t="n">
        <f aca="false">Financials!$E$5*(1+B19)+Financials!$E$6*(1+D19)</f>
        <v>25.5979200801068</v>
      </c>
      <c r="G19" s="40" t="n">
        <f aca="false">Financials!$E$5*(1+B19)*(1+C19)+Financials!$E$6*(1+D19)*(1+E19)</f>
        <v>28.0990840966622</v>
      </c>
      <c r="H19" s="40" t="n">
        <f aca="false">Financials!$E$11+Assumptions!$B$43*(G19-Financials!$E$7)-Assumptions!$B$44-Assumptions!$B$45</f>
        <v>13.4758130724967</v>
      </c>
      <c r="I19" s="28" t="n">
        <f aca="false">(H19+4*Assumptions!$B$35)*(1-Assumptions!$B$36)/Assumptions!$B$10</f>
        <v>12.4408232316001</v>
      </c>
      <c r="J19" s="45" t="n">
        <f aca="false">Assumptions!$B$50</f>
        <v>25</v>
      </c>
      <c r="K19" s="28" t="n">
        <f aca="false">I19*J19</f>
        <v>311.020580790003</v>
      </c>
      <c r="L19" s="43" t="n">
        <f aca="false">K19/Assumptions!$B$7-1</f>
        <v>0.0546645669379544</v>
      </c>
    </row>
    <row r="21" customFormat="false" ht="15" hidden="false" customHeight="false" outlineLevel="0" collapsed="false">
      <c r="A21" s="0" t="s">
        <v>281</v>
      </c>
      <c r="I21" s="28" t="n">
        <f aca="false">I17-I16</f>
        <v>1.57875870535714</v>
      </c>
    </row>
    <row r="22" customFormat="false" ht="15" hidden="false" customHeight="false" outlineLevel="0" collapsed="false">
      <c r="A22" s="0" t="s">
        <v>282</v>
      </c>
      <c r="I22" s="28" t="n">
        <f aca="false">I19-I18</f>
        <v>3.90212749272654</v>
      </c>
    </row>
    <row r="23" customFormat="false" ht="15" hidden="false" customHeight="false" outlineLevel="0" collapsed="false">
      <c r="A23" s="0" t="s">
        <v>283</v>
      </c>
      <c r="I23" s="42" t="n">
        <f aca="false">I22/I21</f>
        <v>2.47164274026524</v>
      </c>
    </row>
    <row r="25" customFormat="false" ht="15" hidden="false" customHeight="false" outlineLevel="0" collapsed="false">
      <c r="A25" s="12" t="s">
        <v>284</v>
      </c>
    </row>
    <row r="26" customFormat="false" ht="15" hidden="false" customHeight="false" outlineLevel="0" collapsed="false">
      <c r="A26" s="12" t="s">
        <v>285</v>
      </c>
    </row>
    <row r="27" customFormat="false" ht="15" hidden="false" customHeight="false" outlineLevel="0" collapsed="false">
      <c r="A27" s="12" t="s">
        <v>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287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288</v>
      </c>
      <c r="B4" s="47" t="n">
        <v>21</v>
      </c>
      <c r="C4" s="47" t="n">
        <f aca="false">Assumptions!$B$50</f>
        <v>25</v>
      </c>
      <c r="D4" s="47" t="n">
        <v>29</v>
      </c>
    </row>
    <row r="5" customFormat="false" ht="15" hidden="false" customHeight="false" outlineLevel="0" collapsed="false">
      <c r="A5" s="48" t="n">
        <v>9.5</v>
      </c>
      <c r="B5" s="49" t="n">
        <f aca="false">$A5*B$4</f>
        <v>199.5</v>
      </c>
      <c r="C5" s="49" t="n">
        <f aca="false">$A5*C$4</f>
        <v>237.5</v>
      </c>
      <c r="D5" s="49" t="n">
        <f aca="false">$A5*D$4</f>
        <v>275.5</v>
      </c>
    </row>
    <row r="6" customFormat="false" ht="15" hidden="false" customHeight="false" outlineLevel="0" collapsed="false">
      <c r="A6" s="50" t="n">
        <f aca="false">Financials!G15</f>
        <v>11.2015971686089</v>
      </c>
      <c r="B6" s="49" t="n">
        <f aca="false">$A6*B$4</f>
        <v>235.233540540786</v>
      </c>
      <c r="C6" s="51" t="n">
        <f aca="false">$A6*C$4</f>
        <v>280.039929215222</v>
      </c>
      <c r="D6" s="49" t="n">
        <f aca="false">$A6*D$4</f>
        <v>324.846317889657</v>
      </c>
    </row>
    <row r="7" customFormat="false" ht="15" hidden="false" customHeight="false" outlineLevel="0" collapsed="false">
      <c r="A7" s="48" t="n">
        <v>12.5</v>
      </c>
      <c r="B7" s="49" t="n">
        <f aca="false">$A7*B$4</f>
        <v>262.5</v>
      </c>
      <c r="C7" s="49" t="n">
        <f aca="false">$A7*C$4</f>
        <v>312.5</v>
      </c>
      <c r="D7" s="49" t="n">
        <f aca="false">$A7*D$4</f>
        <v>362.5</v>
      </c>
    </row>
    <row r="9" customFormat="false" ht="15" hidden="false" customHeight="false" outlineLevel="0" collapsed="false">
      <c r="A9" s="5" t="s">
        <v>289</v>
      </c>
      <c r="B9" s="0" t="n">
        <f aca="false">COUNTIF(B5:D7,"&gt;"&amp;Assumptions!$B$7)</f>
        <v>3</v>
      </c>
      <c r="C9" s="0" t="s">
        <v>290</v>
      </c>
    </row>
    <row r="11" customFormat="false" ht="15" hidden="false" customHeight="false" outlineLevel="0" collapsed="false">
      <c r="A11" s="12" t="s">
        <v>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292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293</v>
      </c>
      <c r="B4" s="4" t="s">
        <v>294</v>
      </c>
      <c r="C4" s="4" t="s">
        <v>295</v>
      </c>
      <c r="D4" s="4" t="s">
        <v>296</v>
      </c>
    </row>
    <row r="5" customFormat="false" ht="15" hidden="false" customHeight="false" outlineLevel="0" collapsed="false">
      <c r="A5" s="5" t="s">
        <v>297</v>
      </c>
      <c r="B5" s="0" t="s">
        <v>298</v>
      </c>
      <c r="C5" s="52" t="n">
        <f aca="false">Assumptions!$B$17</f>
        <v>30.47</v>
      </c>
      <c r="D5" s="7" t="s">
        <v>299</v>
      </c>
    </row>
    <row r="6" customFormat="false" ht="15" hidden="false" customHeight="false" outlineLevel="0" collapsed="false">
      <c r="A6" s="22" t="s">
        <v>300</v>
      </c>
      <c r="B6" s="0" t="s">
        <v>301</v>
      </c>
      <c r="C6" s="53" t="n">
        <v>26.33</v>
      </c>
      <c r="D6" s="7" t="s">
        <v>302</v>
      </c>
    </row>
    <row r="7" customFormat="false" ht="15" hidden="false" customHeight="false" outlineLevel="0" collapsed="false">
      <c r="A7" s="22" t="s">
        <v>303</v>
      </c>
      <c r="B7" s="0" t="s">
        <v>304</v>
      </c>
      <c r="C7" s="53" t="n">
        <v>24.46</v>
      </c>
      <c r="D7" s="7" t="s">
        <v>305</v>
      </c>
    </row>
    <row r="8" customFormat="false" ht="15" hidden="false" customHeight="false" outlineLevel="0" collapsed="false">
      <c r="A8" s="22" t="s">
        <v>306</v>
      </c>
      <c r="B8" s="0" t="s">
        <v>307</v>
      </c>
      <c r="C8" s="53" t="n">
        <v>22.11</v>
      </c>
      <c r="D8" s="7" t="s">
        <v>308</v>
      </c>
    </row>
    <row r="9" customFormat="false" ht="15" hidden="false" customHeight="false" outlineLevel="0" collapsed="false">
      <c r="A9" s="22" t="s">
        <v>309</v>
      </c>
      <c r="B9" s="0" t="s">
        <v>310</v>
      </c>
      <c r="C9" s="53" t="n">
        <v>20.67</v>
      </c>
      <c r="D9" s="7" t="s">
        <v>311</v>
      </c>
    </row>
    <row r="10" customFormat="false" ht="15" hidden="false" customHeight="false" outlineLevel="0" collapsed="false">
      <c r="A10" s="22" t="s">
        <v>312</v>
      </c>
      <c r="B10" s="0" t="s">
        <v>313</v>
      </c>
      <c r="C10" s="53" t="n">
        <v>14.47</v>
      </c>
      <c r="D10" s="7" t="s">
        <v>314</v>
      </c>
    </row>
    <row r="11" customFormat="false" ht="15" hidden="false" customHeight="false" outlineLevel="0" collapsed="false">
      <c r="A11" s="22" t="s">
        <v>315</v>
      </c>
      <c r="B11" s="0" t="s">
        <v>316</v>
      </c>
      <c r="C11" s="53" t="n">
        <v>46.08</v>
      </c>
      <c r="D11" s="7" t="s">
        <v>317</v>
      </c>
    </row>
    <row r="13" customFormat="false" ht="15" hidden="false" customHeight="false" outlineLevel="0" collapsed="false">
      <c r="A13" s="0" t="s">
        <v>318</v>
      </c>
      <c r="C13" s="42" t="n">
        <f aca="false">MEDIAN(C6:C11)</f>
        <v>23.285</v>
      </c>
    </row>
    <row r="14" customFormat="false" ht="15" hidden="false" customHeight="false" outlineLevel="0" collapsed="false">
      <c r="A14" s="0" t="s">
        <v>319</v>
      </c>
      <c r="C14" s="42" t="n">
        <f aca="false">MEDIAN(C6:C10)</f>
        <v>22.11</v>
      </c>
    </row>
    <row r="16" customFormat="false" ht="15" hidden="false" customHeight="false" outlineLevel="0" collapsed="false">
      <c r="A16" s="12" t="s">
        <v>320</v>
      </c>
    </row>
    <row r="17" customFormat="false" ht="15" hidden="false" customHeight="false" outlineLevel="0" collapsed="false">
      <c r="A17" s="12" t="s">
        <v>321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322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323</v>
      </c>
      <c r="B4" s="4" t="s">
        <v>324</v>
      </c>
    </row>
    <row r="5" customFormat="false" ht="23.85" hidden="false" customHeight="false" outlineLevel="0" collapsed="false">
      <c r="A5" s="0" t="n">
        <v>1</v>
      </c>
      <c r="B5" s="7" t="s">
        <v>325</v>
      </c>
    </row>
    <row r="6" customFormat="false" ht="23.85" hidden="false" customHeight="false" outlineLevel="0" collapsed="false">
      <c r="A6" s="0" t="n">
        <v>2</v>
      </c>
      <c r="B6" s="7" t="s">
        <v>326</v>
      </c>
    </row>
    <row r="7" customFormat="false" ht="15" hidden="false" customHeight="false" outlineLevel="0" collapsed="false">
      <c r="A7" s="0" t="n">
        <v>3</v>
      </c>
      <c r="B7" s="7" t="s">
        <v>327</v>
      </c>
    </row>
    <row r="8" customFormat="false" ht="23.85" hidden="false" customHeight="false" outlineLevel="0" collapsed="false">
      <c r="A8" s="0" t="n">
        <v>4</v>
      </c>
      <c r="B8" s="7" t="s">
        <v>328</v>
      </c>
    </row>
    <row r="9" customFormat="false" ht="35.05" hidden="false" customHeight="false" outlineLevel="0" collapsed="false">
      <c r="A9" s="0" t="n">
        <v>5</v>
      </c>
      <c r="B9" s="7" t="s">
        <v>329</v>
      </c>
    </row>
    <row r="10" customFormat="false" ht="23.85" hidden="false" customHeight="false" outlineLevel="0" collapsed="false">
      <c r="A10" s="0" t="n">
        <v>6</v>
      </c>
      <c r="B10" s="7" t="s">
        <v>330</v>
      </c>
    </row>
    <row r="11" customFormat="false" ht="15" hidden="false" customHeight="false" outlineLevel="0" collapsed="false">
      <c r="A11" s="0" t="n">
        <v>7</v>
      </c>
      <c r="B11" s="7" t="s">
        <v>331</v>
      </c>
    </row>
    <row r="12" customFormat="false" ht="15" hidden="false" customHeight="false" outlineLevel="0" collapsed="false">
      <c r="A12" s="0" t="n">
        <v>8</v>
      </c>
      <c r="B12" s="7" t="s">
        <v>332</v>
      </c>
    </row>
    <row r="13" customFormat="false" ht="23.85" hidden="false" customHeight="false" outlineLevel="0" collapsed="false">
      <c r="A13" s="0" t="n">
        <v>9</v>
      </c>
      <c r="B13" s="7" t="s">
        <v>333</v>
      </c>
    </row>
    <row r="14" customFormat="false" ht="23.85" hidden="false" customHeight="false" outlineLevel="0" collapsed="false">
      <c r="A14" s="0" t="n">
        <v>10</v>
      </c>
      <c r="B14" s="7" t="s">
        <v>334</v>
      </c>
    </row>
    <row r="15" customFormat="false" ht="15" hidden="false" customHeight="false" outlineLevel="0" collapsed="false">
      <c r="A15" s="0" t="n">
        <v>11</v>
      </c>
      <c r="B15" s="7" t="s">
        <v>335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2026-10-06T13:47:17Z</dcterms:created>
  <dc:creator>openpyxl</dc:creator>
  <dc:description/>
  <dc:language>en-GB</dc:language>
  <cp:lastModifiedBy/>
  <dcterms:modified xsi:type="dcterms:W3CDTF">2026-10-06T13:47:17Z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