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ly" sheetId="3" state="visible" r:id="rId5"/>
    <sheet name="Monthly" sheetId="4" state="visible" r:id="rId6"/>
    <sheet name="Financials" sheetId="5" state="visible" r:id="rId7"/>
    <sheet name="Valuation" sheetId="6" state="visible" r:id="rId8"/>
    <sheet name="Scenarios" sheetId="7" state="visible" r:id="rId9"/>
    <sheet name="Sensitivity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<sst xmlns="http://schemas.openxmlformats.org/spreadsheetml/2006/main" count="397" uniqueCount="328">
  <si>
    <t xml:space="preserve">TSMC (NYSE: TSM ADR; TWSE: 2330)  INITIATION MODEL</t>
  </si>
  <si>
    <t xml:space="preserve">Tommy Lau | TSMC (NYSE: TSM; TWSE: 2330) | 6 October 2026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</si>
  <si>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</si>
  <si>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</si>
  <si>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</si>
  <si>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</si>
  <si>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Tommy Lau's call, published 6 Oct 2026.</t>
  </si>
  <si>
    <t xml:space="preserve">Conviction</t>
  </si>
  <si>
    <t xml:space="preserve">Medium</t>
  </si>
  <si>
    <t xml:space="preserve">Judgement, not formula.</t>
  </si>
  <si>
    <t xml:space="preserve">Reference price, US$ per ADR</t>
  </si>
  <si>
    <t xml:space="preserve">NYSE close, 5 October 2026. 1 ADR = 5 ordinary shares.</t>
  </si>
  <si>
    <t xml:space="preserve">Base value, US$ per ADR</t>
  </si>
  <si>
    <t xml:space="preserve">20x 2028E EPS.</t>
  </si>
  <si>
    <t xml:space="preserve">Base value against the price</t>
  </si>
  <si>
    <t xml:space="preserve">Probability-weighted value, US$</t>
  </si>
  <si>
    <t xml:space="preserve">25 / 50 / 25 bear / base / bull.</t>
  </si>
  <si>
    <t xml:space="preserve">2026E / 2027E / 2028E EPS per ADR, US$</t>
  </si>
  <si>
    <t xml:space="preserve">Own estimates.</t>
  </si>
  <si>
    <t xml:space="preserve">Horizon</t>
  </si>
  <si>
    <t xml:space="preserve">12 months, to October 2027</t>
  </si>
  <si>
    <t xml:space="preserve">Wrong if</t>
  </si>
  <si>
    <t xml:space="preserve">See note</t>
  </si>
  <si>
    <t xml:space="preserve">Full year 2027 revenue grows 30% or more in US dollars with an operating margin of 58% or more; or TSMC raises its through-the-cycle gross margin floor above 56%; or the ADR trades above US$560 by October 2027 without either.</t>
  </si>
  <si>
    <t xml:space="preserve">Revisit if</t>
  </si>
  <si>
    <t xml:space="preserve">A price below about US$400, or Q3 gross margin at or above the 67% top of the guide despite the 2nm ramp, or a raised margin floor.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</si>
  <si>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</si>
  <si>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</si>
  <si>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</si>
  <si>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Quarterly</t>
  </si>
  <si>
    <t xml:space="preserve">Q1 2024 to Q2 2026 reported, my Q3 and Q4 2026; wafers, revenue per wafer, non-operating items, capex.</t>
  </si>
  <si>
    <t xml:space="preserve">Monthly</t>
  </si>
  <si>
    <t xml:space="preserve">Monthly revenue January 2025 to August 2026 and the Q3 2026 track against the guide.</t>
  </si>
  <si>
    <t xml:space="preserve">Financials</t>
  </si>
  <si>
    <t xml:space="preserve">2024A to 2028E: revenue, margin, the EPS bridge per ADR, P/E.</t>
  </si>
  <si>
    <t xml:space="preserve">Valuation</t>
  </si>
  <si>
    <t xml:space="preserve">Base value, market value, ADR premium, multiples, what the price needs.</t>
  </si>
  <si>
    <t xml:space="preserve">Scenarios</t>
  </si>
  <si>
    <t xml:space="preserve">Bear / base / bull and the probability-weighted value.</t>
  </si>
  <si>
    <t xml:space="preserve">Sensitivity</t>
  </si>
  <si>
    <t xml:space="preserve">2028E EPS against multiple.</t>
  </si>
  <si>
    <t xml:space="preserve">Peers</t>
  </si>
  <si>
    <t xml:space="preserve">Forward multiples used to set the base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</si>
  <si>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</si>
  <si>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</si>
  <si>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</si>
  <si>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2026-10-06_TSMC_Initiation.pdf.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</si>
  <si>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</si>
  <si>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billion unless stated; per-ADR figures in US$.</t>
  </si>
  <si>
    <t xml:space="preserve">Input</t>
  </si>
  <si>
    <t xml:space="preserve">Unit</t>
  </si>
  <si>
    <t xml:space="preserve">Source / note</t>
  </si>
  <si>
    <t xml:space="preserve">MARKET (retrieved 6 October 2026)</t>
  </si>
  <si>
    <t xml:space="preserve">ADR price (NYSE: TSM)</t>
  </si>
  <si>
    <t xml:space="preserve">US$</t>
  </si>
  <si>
    <t xml:space="preserve">NYSE close, 5 October 2026. Yahoo Finance.</t>
  </si>
  <si>
    <t xml:space="preserve">ADR 52-week high (intraday)</t>
  </si>
  <si>
    <t xml:space="preserve">Yahoo Finance.</t>
  </si>
  <si>
    <t xml:space="preserve">ADR month-end close, 30 Sep 2025</t>
  </si>
  <si>
    <t xml:space="preserve">Taipei share price (2330.TW)</t>
  </si>
  <si>
    <t xml:space="preserve">NT$</t>
  </si>
  <si>
    <t xml:space="preserve">TWSE close, 6 October 2026. Yahoo Finance.</t>
  </si>
  <si>
    <t xml:space="preserve">NT$ per US$</t>
  </si>
  <si>
    <t xml:space="preserve">Yahoo Finance TWD=X, 6 October 2026.</t>
  </si>
  <si>
    <t xml:space="preserve">Ordinary shares per ADR</t>
  </si>
  <si>
    <t xml:space="preserve">x</t>
  </si>
  <si>
    <t xml:space="preserve">TSMC ADR ratio.</t>
  </si>
  <si>
    <t xml:space="preserve">Ordinary shares outstanding</t>
  </si>
  <si>
    <t xml:space="preserve">bn</t>
  </si>
  <si>
    <t xml:space="preserve">2Q26 presentation: 25,932mn units at 30 June 2026.</t>
  </si>
  <si>
    <t xml:space="preserve">Cash and marketable securities, 30 Jun 2026</t>
  </si>
  <si>
    <t xml:space="preserve">NT$bn</t>
  </si>
  <si>
    <t xml:space="preserve">2Q26 presentation, balance sheet.</t>
  </si>
  <si>
    <t xml:space="preserve">Long-term interest-bearing debts, 30 Jun 2026</t>
  </si>
  <si>
    <t xml:space="preserve">2Q26 presentation. Current portion not separately shown, so net cash is approximate.</t>
  </si>
  <si>
    <t xml:space="preserve">2026 consensus EPS per ADR</t>
  </si>
  <si>
    <t xml:space="preserve">MarketBeat, retrieved 6 October 2026. Cross-check only.</t>
  </si>
  <si>
    <t xml:space="preserve">2027 consensus EPS per ADR</t>
  </si>
  <si>
    <t xml:space="preserve">Forward P/E shown by stockanalysis.com</t>
  </si>
  <si>
    <t xml:space="preserve">stockanalysis.com, 6 October 2026.</t>
  </si>
  <si>
    <t xml:space="preserve">Average analyst ADR target</t>
  </si>
  <si>
    <t xml:space="preserve">stockanalysis.com, 21 analysts, 6 October 2026.</t>
  </si>
  <si>
    <t xml:space="preserve">REPORTED (TSMC 4Q25 presentation, 15 Jan 2026; quarterly releases)</t>
  </si>
  <si>
    <t xml:space="preserve">2024 revenue</t>
  </si>
  <si>
    <t xml:space="preserve">US$bn</t>
  </si>
  <si>
    <t xml:space="preserve">TSMC 4Q25 presentation, 2025 financial highlights.</t>
  </si>
  <si>
    <t xml:space="preserve">2025 revenue</t>
  </si>
  <si>
    <t xml:space="preserve">Same.</t>
  </si>
  <si>
    <t xml:space="preserve">2024 gross margin</t>
  </si>
  <si>
    <t xml:space="preserve">%</t>
  </si>
  <si>
    <t xml:space="preserve">2025 gross margin</t>
  </si>
  <si>
    <t xml:space="preserve">2024 operating margin</t>
  </si>
  <si>
    <t xml:space="preserve">2025 operating margin</t>
  </si>
  <si>
    <t xml:space="preserve">2024 EPS per ADR</t>
  </si>
  <si>
    <t xml:space="preserve">Sum of the four quarterly releases (US$ per ADR unit).</t>
  </si>
  <si>
    <t xml:space="preserve">2025 EPS per ADR</t>
  </si>
  <si>
    <t xml:space="preserve">2024 EPS per share</t>
  </si>
  <si>
    <t xml:space="preserve">TSMC 4Q25 presentation.</t>
  </si>
  <si>
    <t xml:space="preserve">2025 EPS per share</t>
  </si>
  <si>
    <t xml:space="preserve">Long-term gross margin floor, through the cycle</t>
  </si>
  <si>
    <t xml:space="preserve">TSMC 4Q25 presentation: 56% and higher through the cycle.</t>
  </si>
  <si>
    <t xml:space="preserve">Revenue CAGR 2024 to 2029, approaching</t>
  </si>
  <si>
    <t xml:space="preserve">TSMC 4Q25 presentation, US dollar terms.</t>
  </si>
  <si>
    <t xml:space="preserve">Q3 2026 revenue guide, low</t>
  </si>
  <si>
    <t xml:space="preserve">Release of 16 July 2026.</t>
  </si>
  <si>
    <t xml:space="preserve">Q3 2026 revenue guide, high</t>
  </si>
  <si>
    <t xml:space="preserve">Q3 2026 guide exchange rate</t>
  </si>
  <si>
    <t xml:space="preserve">MY ASSUMPTIONS</t>
  </si>
  <si>
    <t xml:space="preserve">Non-operating income, % of revenue</t>
  </si>
  <si>
    <t xml:space="preserve">MINE. Q1 2026 level (NT$28.83bn on NT$1,134.10bn). Q2 2026 jump to NT$95.83bn treated as non-recurring.</t>
  </si>
  <si>
    <t xml:space="preserve">Tax and minorities, % of pre-tax profit</t>
  </si>
  <si>
    <t xml:space="preserve">MINE. 2025: 15.9%; first half 2026: 17.5%.</t>
  </si>
  <si>
    <t xml:space="preserve">Q3 2026 revenue</t>
  </si>
  <si>
    <t xml:space="preserve">MINE. July and August monthly revenue already NT$982.4bn; above the guide top.</t>
  </si>
  <si>
    <t xml:space="preserve">Q3 2026 operating margin</t>
  </si>
  <si>
    <t xml:space="preserve">MINE. Middle of the 56 to 58% guide.</t>
  </si>
  <si>
    <t xml:space="preserve">Q4 2026 revenue</t>
  </si>
  <si>
    <t xml:space="preserve">MINE. Gives 2026 growth of 40%, in line with 'slightly above 40%'.</t>
  </si>
  <si>
    <t xml:space="preserve">Q4 2026 operating margin</t>
  </si>
  <si>
    <t xml:space="preserve">MINE. 2nm ramp dilution of 3 to 4 points on gross margin in the second half.</t>
  </si>
  <si>
    <t xml:space="preserve">2027 revenue growth</t>
  </si>
  <si>
    <t xml:space="preserve">MINE. Inside TSMC's 2024 to 2029 plan.</t>
  </si>
  <si>
    <t xml:space="preserve">2028 revenue growth</t>
  </si>
  <si>
    <t xml:space="preserve">MINE. Same; leaves about 10% for 2029 to reach ~US$275bn.</t>
  </si>
  <si>
    <t xml:space="preserve">2027 operating margin</t>
  </si>
  <si>
    <t xml:space="preserve">MINE. H2 2026 guide level held.</t>
  </si>
  <si>
    <t xml:space="preserve">2028 operating margin</t>
  </si>
  <si>
    <t xml:space="preserve">MINE. Depreciation of 2026 to 2027 capex, overseas dilution widening, 2nm.</t>
  </si>
  <si>
    <t xml:space="preserve">Target multiple on 2028E EPS (base)</t>
  </si>
  <si>
    <t xml:space="preserve">MINE. TSMC's own forward P/E today, 20.7x (Peers tab).</t>
  </si>
  <si>
    <t xml:space="preserve">QUARTERLY HISTORY, Q1 2024 TO Q2 2026, AND MY Q3 / Q4 2026</t>
  </si>
  <si>
    <t xml:space="preserve">US$ billion unless stated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</si>
  <si>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</si>
  <si>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</si>
  <si>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</si>
  <si>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</si>
  <si>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</si>
  <si>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</si>
  <si>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</si>
  <si>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</si>
  <si>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</si>
  <si>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</si>
  <si>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Q3 26E</t>
  </si>
  <si>
    <t xml:space="preserve">Q4 26E</t>
  </si>
  <si>
    <t xml:space="preserve">Revenue, US$bn</t>
  </si>
  <si>
    <t xml:space="preserve">Revenue, NT$bn</t>
  </si>
  <si>
    <t xml:space="preserve">Revenue growth y/y, US$ (derived)</t>
  </si>
  <si>
    <t xml:space="preserve">Gross margin</t>
  </si>
  <si>
    <t xml:space="preserve">Operating margin</t>
  </si>
  <si>
    <t xml:space="preserve">EPS per share, NT$</t>
  </si>
  <si>
    <t xml:space="preserve">EPS per ADR, US$ (reported; Q3 / Q4 26 mine)</t>
  </si>
  <si>
    <t xml:space="preserve">HPC share of revenue</t>
  </si>
  <si>
    <t xml:space="preserve">7nm and below, share of wafer revenue</t>
  </si>
  <si>
    <t xml:space="preserve">Gross margin above the 56% floor, points (derived)</t>
  </si>
  <si>
    <t xml:space="preserve">Wafers and the second quarter</t>
  </si>
  <si>
    <t xml:space="preserve">Wafer shipments, thousand 12-inch equivalent</t>
  </si>
  <si>
    <t xml:space="preserve">2Q26 presentation.</t>
  </si>
  <si>
    <t xml:space="preserve">Revenue per wafer, NT$ thousand (derived)</t>
  </si>
  <si>
    <t xml:space="preserve">Wafers y/y, Q2 26 (derived)</t>
  </si>
  <si>
    <t xml:space="preserve">Revenue per wafer y/y, Q2 26 (derived)</t>
  </si>
  <si>
    <t xml:space="preserve">Non-operating items, NT$bn, Q1 26 / Q2 26</t>
  </si>
  <si>
    <t xml:space="preserve">Q2 26 excess non-operating, after tax, per ADR, US$ (derived)</t>
  </si>
  <si>
    <t xml:space="preserve">At the Q2 26 average rate of NT$31.60 (2Q26 presentation).</t>
  </si>
  <si>
    <t xml:space="preserve">Capital expenditures, NT$bn, Q1 26 / Q2 26</t>
  </si>
  <si>
    <t xml:space="preserve">First half total in column D.</t>
  </si>
  <si>
    <t xml:space="preserve">Capital expenditures, NT$bn, 2024 / 2025</t>
  </si>
  <si>
    <t xml:space="preserve">Source: TSMC quarterly results releases and presentations on Form 6-K, 18 April 2024 to 16 July 2026. HPC share from the revenue-by-platform slides.</t>
  </si>
  <si>
    <t xml:space="preserve">Q3 26E and Q4 26E are my estimates; EPS per ADR = revenue x (operating margin + non-operating %) x (1 - tax) x 5 / shares.</t>
  </si>
  <si>
    <t xml:space="preserve">MONTHLY REVENUE, NT$ BILLION, AND THE Q3 2026 TRACK</t>
  </si>
  <si>
    <t xml:space="preserve">Month</t>
  </si>
  <si>
    <t xml:space="preserve">Jan 25</t>
  </si>
  <si>
    <t xml:space="preserve">Feb 25</t>
  </si>
  <si>
    <t xml:space="preserve">Mar 25</t>
  </si>
  <si>
    <t xml:space="preserve">Apr 25</t>
  </si>
  <si>
    <t xml:space="preserve">May 25</t>
  </si>
  <si>
    <t xml:space="preserve">Jun 25</t>
  </si>
  <si>
    <t xml:space="preserve">Jul 25</t>
  </si>
  <si>
    <t xml:space="preserve">Aug 25</t>
  </si>
  <si>
    <t xml:space="preserve">Sep 25</t>
  </si>
  <si>
    <t xml:space="preserve">Oct 25</t>
  </si>
  <si>
    <t xml:space="preserve">Nov 25</t>
  </si>
  <si>
    <t xml:space="preserve">Dec 25</t>
  </si>
  <si>
    <t xml:space="preserve">Jan 26</t>
  </si>
  <si>
    <t xml:space="preserve">Feb 26</t>
  </si>
  <si>
    <t xml:space="preserve">Mar 26</t>
  </si>
  <si>
    <t xml:space="preserve">Apr 26</t>
  </si>
  <si>
    <t xml:space="preserve">May 26</t>
  </si>
  <si>
    <t xml:space="preserve">Jun 26</t>
  </si>
  <si>
    <t xml:space="preserve">Jul 26</t>
  </si>
  <si>
    <t xml:space="preserve">Aug 26</t>
  </si>
  <si>
    <t xml:space="preserve">Q3 2026 track</t>
  </si>
  <si>
    <t xml:space="preserve">Jul + Aug 2026</t>
  </si>
  <si>
    <t xml:space="preserve">Two thirds of the quarter, reported.</t>
  </si>
  <si>
    <t xml:space="preserve">Q3 guide low, NT$bn at guide rate</t>
  </si>
  <si>
    <t xml:space="preserve">Q3 guide high, NT$bn at guide rate</t>
  </si>
  <si>
    <t xml:space="preserve">September needed for the low end</t>
  </si>
  <si>
    <t xml:space="preserve">September needed for the high end</t>
  </si>
  <si>
    <t xml:space="preserve">August alone was NT$514.81bn.</t>
  </si>
  <si>
    <t xml:space="preserve">Monthly pace of the guide midpoint</t>
  </si>
  <si>
    <t xml:space="preserve">Reference line on the chart.</t>
  </si>
  <si>
    <t xml:space="preserve">August 2026 y/y</t>
  </si>
  <si>
    <t xml:space="preserve">August 2025 in row above.</t>
  </si>
  <si>
    <t xml:space="preserve">Source: TSMC monthly revenue reports on Form 6-K, 10 February 2025 to 10 September 2026. September 2026 is due around 10 October (not confirmed).</t>
  </si>
  <si>
    <t xml:space="preserve">FINANCIAL SUMMARY AND FORECASTS (US$ billion unless stated)</t>
  </si>
  <si>
    <t xml:space="preserve">2024A</t>
  </si>
  <si>
    <t xml:space="preserve">2025A</t>
  </si>
  <si>
    <t xml:space="preserve">2026E*</t>
  </si>
  <si>
    <t xml:space="preserve">2027E*</t>
  </si>
  <si>
    <t xml:space="preserve">2028E*</t>
  </si>
  <si>
    <t xml:space="preserve">Revenue</t>
  </si>
  <si>
    <t xml:space="preserve">Revenue growth</t>
  </si>
  <si>
    <t xml:space="preserve">Gross margin (reported; not modelled ahead)</t>
  </si>
  <si>
    <t xml:space="preserve">Operating profit</t>
  </si>
  <si>
    <t xml:space="preserve">Non-operating income</t>
  </si>
  <si>
    <t xml:space="preserve">Net income after tax and minorities</t>
  </si>
  <si>
    <t xml:space="preserve">EPS per ADR, US$</t>
  </si>
  <si>
    <t xml:space="preserve">EPS growth</t>
  </si>
  <si>
    <t xml:space="preserve">P/E at reference price</t>
  </si>
  <si>
    <t xml:space="preserve">*2026E to 2028E are my own estimates. 2026E = reported Q1 and Q2 plus my Q3 and Q4 (Quarterly tab); 2026E EPS uses reported first-half EPS per ADR (US$7.80).</t>
  </si>
  <si>
    <t xml:space="preserve">2024A and 2025A operating profit are derived as revenue x margin. Net income for 2026E (row 11) is illustrative; EPS uses the quarterly build.</t>
  </si>
  <si>
    <t xml:space="preserve">EPS bridge 2027E and 2028E: (operating profit + non-operating income) x (1 - tax and minorities) x 5 / 25.932bn shares.</t>
  </si>
  <si>
    <t xml:space="preserve">Note check: 2026E revenue 171.50, EPS 16.81; 2027E 212.66, 20.25; 2028E 250.94, 23.29.</t>
  </si>
  <si>
    <t xml:space="preserve">VALUATION: 20x 2028E EPS PER ADR, TWELVE MONTHS OUT</t>
  </si>
  <si>
    <t xml:space="preserve">Line</t>
  </si>
  <si>
    <t xml:space="preserve">Working / note</t>
  </si>
  <si>
    <t xml:space="preserve">2028E EPS per ADR, US$</t>
  </si>
  <si>
    <t xml:space="preserve">The market will be pricing 2028 by October 2027.</t>
  </si>
  <si>
    <t xml:space="preserve">Base multiple, x</t>
  </si>
  <si>
    <t xml:space="preserve">Assumptions tab.</t>
  </si>
  <si>
    <t xml:space="preserve">Base-case value per ADR, US$</t>
  </si>
  <si>
    <t xml:space="preserve">EPS x multiple.</t>
  </si>
  <si>
    <t xml:space="preserve">Reference price, US$</t>
  </si>
  <si>
    <t xml:space="preserve">NYSE close, 5 October 2026.</t>
  </si>
  <si>
    <t xml:space="preserve">Within +/- 10%: no call on value alone.</t>
  </si>
  <si>
    <t xml:space="preserve">Scenarios tab.</t>
  </si>
  <si>
    <t xml:space="preserve">CALL</t>
  </si>
  <si>
    <t xml:space="preserve">Rule of thumb: 15% either side of the price. Conviction is judgement. Tommy Lau's call, 6 Oct 2026.</t>
  </si>
  <si>
    <t xml:space="preserve">Market value at the ADR price, US$bn</t>
  </si>
  <si>
    <t xml:space="preserve">Shares / 5 x ADR price.</t>
  </si>
  <si>
    <t xml:space="preserve">Market value at the Taipei price, US$bn</t>
  </si>
  <si>
    <t xml:space="preserve">Net cash, US$bn (approximate)</t>
  </si>
  <si>
    <t xml:space="preserve">Cash and securities less long-term debt, 30 June 2026.</t>
  </si>
  <si>
    <t xml:space="preserve">ADR premium to five Taipei shares</t>
  </si>
  <si>
    <t xml:space="preserve">ADR change since 30 Sep 2025</t>
  </si>
  <si>
    <t xml:space="preserve">Price below the 52-week high</t>
  </si>
  <si>
    <t xml:space="preserve">P/E on my 2026E</t>
  </si>
  <si>
    <t xml:space="preserve">P/E on my 2027E</t>
  </si>
  <si>
    <t xml:space="preserve">P/E on the 2027 consensus</t>
  </si>
  <si>
    <t xml:space="preserve">MarketBeat US$21.33.</t>
  </si>
  <si>
    <t xml:space="preserve">P/E on my 2028E</t>
  </si>
  <si>
    <t xml:space="preserve">My 2027E EPS against consensus</t>
  </si>
  <si>
    <t xml:space="preserve">2028 EPS the price needs at the base multiple, US$</t>
  </si>
  <si>
    <t xml:space="preserve">What the market prices in.</t>
  </si>
  <si>
    <t xml:space="preserve">2028 operating margin that needs, on my 2028E revenue</t>
  </si>
  <si>
    <t xml:space="preserve">Against my 55.5%.</t>
  </si>
  <si>
    <t xml:space="preserve">2028 revenue that needs, at my 2028E margin, US$bn</t>
  </si>
  <si>
    <t xml:space="preserve">Against my US$250.9bn.</t>
  </si>
  <si>
    <t xml:space="preserve">2029 revenue on TSMC's 25% CAGR from 2024, US$bn</t>
  </si>
  <si>
    <t xml:space="preserve">Annual growth that leaves for 2027 to 2029</t>
  </si>
  <si>
    <t xml:space="preserve">My base sits inside this.</t>
  </si>
  <si>
    <t xml:space="preserve">Price that puts the base case 16% above</t>
  </si>
  <si>
    <t xml:space="preserve">The 'revisit below about US$400' line.</t>
  </si>
  <si>
    <t xml:space="preserve">THREE CASES, TWELVE MONTHS OUT</t>
  </si>
  <si>
    <t xml:space="preserve">Case</t>
  </si>
  <si>
    <t xml:space="preserve">2027 growth</t>
  </si>
  <si>
    <t xml:space="preserve">2028 growth</t>
  </si>
  <si>
    <t xml:space="preserve">2027 margin</t>
  </si>
  <si>
    <t xml:space="preserve">2028 margin</t>
  </si>
  <si>
    <t xml:space="preserve">2027 revenue</t>
  </si>
  <si>
    <t xml:space="preserve">2028 revenue</t>
  </si>
  <si>
    <t xml:space="preserve">2028 EPS</t>
  </si>
  <si>
    <t xml:space="preserve">Multiple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</si>
  <si>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</si>
  <si>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</si>
  <si>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</si>
  <si>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</si>
  <si>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</si>
  <si>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</si>
  <si>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</si>
  <si>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All cases start from my 2026E revenue and use the same earnings bridge. The 2027 margin affects only 2027 earnings; the value uses 2028.</t>
  </si>
  <si>
    <t xml:space="preserve">Bear: the grid binds first and TSMC's tightness eases as 2028 capacity lands. Bull: the factory stays the bottleneck and the scarcity margin holds.</t>
  </si>
  <si>
    <t xml:space="preserve">VALUE PER ADR: 2028E EPS AGAINST MULTIPLE (US$)</t>
  </si>
  <si>
    <t xml:space="preserve">2028 EPS \ multiple</t>
  </si>
  <si>
    <t xml:space="preserve">Cells above the reference price</t>
  </si>
  <si>
    <t xml:space="preserve">of 9</t>
  </si>
  <si>
    <t xml:space="preserve">Middle row links to the model's 2028E EPS and the middle column to the base multiple.</t>
  </si>
  <si>
    <t xml:space="preserve">PEER MULTIPLES (FORWARD P/E, stockanalysis.com, 6 OCTOBER 2026)</t>
  </si>
  <si>
    <t xml:space="preserve">Company</t>
  </si>
  <si>
    <t xml:space="preserve">Ticker</t>
  </si>
  <si>
    <t xml:space="preserve">Forward P/E</t>
  </si>
  <si>
    <t xml:space="preserve">What they make</t>
  </si>
  <si>
    <t xml:space="preserve">TSMC</t>
  </si>
  <si>
    <t xml:space="preserve">NYSE: TSM</t>
  </si>
  <si>
    <t xml:space="preserve">Foundry: makes chips others design; CoWoS advanced packaging</t>
  </si>
  <si>
    <t xml:space="preserve">GlobalFoundries</t>
  </si>
  <si>
    <t xml:space="preserve">Nasdaq: GFS</t>
  </si>
  <si>
    <t xml:space="preserve">Foundry, mature and specialty processes</t>
  </si>
  <si>
    <t xml:space="preserve">United Microelectronics</t>
  </si>
  <si>
    <t xml:space="preserve">NYSE: UMC</t>
  </si>
  <si>
    <t xml:space="preserve">Foundry, mature processes; makes interposers</t>
  </si>
  <si>
    <t xml:space="preserve">Intel</t>
  </si>
  <si>
    <t xml:space="preserve">Nasdaq: INTC</t>
  </si>
  <si>
    <t xml:space="preserve">Designs and makes its own chips; Intel Foundry for outside customers</t>
  </si>
  <si>
    <t xml:space="preserve">ASE Technology</t>
  </si>
  <si>
    <t xml:space="preserve">NYSE: ASX</t>
  </si>
  <si>
    <t xml:space="preserve">Chip packaging and test, including advanced packaging</t>
  </si>
  <si>
    <t xml:space="preserve">Samsung Electronics</t>
  </si>
  <si>
    <t xml:space="preserve">KRX: 005930</t>
  </si>
  <si>
    <t xml:space="preserve">Memory, including stacked HBM; Samsung Foundry</t>
  </si>
  <si>
    <t xml:space="preserve">Nvidia (customer)</t>
  </si>
  <si>
    <t xml:space="preserve">Nasdaq: NVDA</t>
  </si>
  <si>
    <t xml:space="preserve">Designs AI accelerators; has them made at TSMC</t>
  </si>
  <si>
    <t xml:space="preserve">Median of the foundries and ASE (GFS, UMC, ASX)</t>
  </si>
  <si>
    <t xml:space="preserve">Intel and Samsung multiples are distorted by recovery and memory cycles. Nvidia is a customer, shown for context.</t>
  </si>
  <si>
    <t xml:space="preserve">Multiples only, to set the base multiple. No view on the peers' shares is expressed.</t>
  </si>
  <si>
    <t xml:space="preserve">SOURCES</t>
  </si>
  <si>
    <t xml:space="preserve">No.</t>
  </si>
  <si>
    <t xml:space="preserve">Source and what it supports</t>
  </si>
  <si>
    <t xml:space="preserve">TSMC quarterly results releases (Exhibit 99.1) and presentations furnished on Form 6-K, 18 April 2024 to 16 July 2026: revenue, margins, EPS, mix, wafers, balance sheet, cash flow, Q3 2026 guide.</t>
  </si>
  <si>
    <t xml:space="preserve">TSMC 4Q25 presentation, 15 January 2026: 2024 and 2025 annual figures; 2024 to 2029 revenue CAGR approaching 25%; long-term gross margin of 56% and higher through the cycle.</t>
  </si>
  <si>
    <t xml:space="preserve">TSMC monthly revenue reports on Form 6-K, 10 February 2025 to 10 September 2026.</t>
  </si>
  <si>
    <t xml:space="preserve">TSMC earnings call transcripts, 15 January 2026 and 16 July 2026: wafer supply, power, Taiwan electricity, fab build time, capex timing and the US$60 to 64bn budget, packaging, overseas and 2nm dilution, Arizona, dividends.</t>
  </si>
  <si>
    <t xml:space="preserve">TSMC Form 6-K, 15 May 2026: sale of up to 8.1% of Vanguard International Semiconductor.</t>
  </si>
  <si>
    <t xml:space="preserve">TSMC investor relations, quarterly results page: Q3 2026 conference on 15 October 2026, 14:00 Taiwan time.</t>
  </si>
  <si>
    <t xml:space="preserve">Yahoo Finance chart API, retrieved 6 October 2026: TSM month-end closes and 5 October close, 52-week range, 2330.TW close, TWD=X.</t>
  </si>
  <si>
    <t xml:space="preserve">MarketBeat, retrieved 6 October 2026: 2026 and 2027 consensus EPS per ADR. stockanalysis.com, retrieved 6 October 2026: forward P/E, analyst target, peer multiples.</t>
  </si>
  <si>
    <t xml:space="preserve">The Physical Layer, 'TSMC's chief says the AI bottleneck is its factories, not the power grid', 2 October 2026: https://thephysicallayer.fyi/journal/tsmc-says-it-is-the-bottleneck/</t>
  </si>
  <si>
    <t xml:space="preserve">Estimates for 2026 to 2028 are the author's own. Personal research, not investment advice. I hold no position in TSMC.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</si>
</sst>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&quot;US$&quot;#,##0.00"/>
    <numFmt numFmtId="166" formatCode="0.0%"/>
    <numFmt numFmtId="167" formatCode="#,##0.00"/>
    <numFmt numFmtId="168" formatCode="0\x"/>
    <numFmt numFmtId="169" formatCode="#,##0.000"/>
    <numFmt numFmtId="170" formatCode="0%"/>
    <numFmt numFmtId="171" formatCode="\+0.0;\-0.0"/>
    <numFmt numFmtId="172" formatCode="#,##0"/>
    <numFmt numFmtId="173" formatCode="0.0\x"/>
    <numFmt numFmtId="174" formatCode="#,##0.0"/>
    <numFmt numFmtId="175" formatCode="0.00%"/>
    <numFmt numFmtId="176" formatCode="&quot;US$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4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Valuation!$B$11</f>
        <v>NO CALL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">
        <v>8</v>
      </c>
      <c r="C6" s="7" t="s">
        <v>9</v>
      </c>
    </row>
    <row r="7" customFormat="false" ht="15" hidden="false" customHeight="false" outlineLevel="0" collapsed="false">
      <c r="A7" s="5" t="s">
        <v>10</v>
      </c>
      <c r="B7" s="9" t="n">
        <f aca="false">Assumptions!$B$7</f>
        <v>485.8</v>
      </c>
      <c r="C7" s="7" t="s">
        <v>11</v>
      </c>
    </row>
    <row r="8" customFormat="false" ht="15" hidden="false" customHeight="false" outlineLevel="0" collapsed="false">
      <c r="A8" s="5" t="s">
        <v>12</v>
      </c>
      <c r="B8" s="9" t="n">
        <f aca="false">Valuation!$B$7</f>
        <v>465.841193583218</v>
      </c>
      <c r="C8" s="7" t="s">
        <v>13</v>
      </c>
    </row>
    <row r="9" customFormat="false" ht="15" hidden="false" customHeight="false" outlineLevel="0" collapsed="false">
      <c r="A9" s="5" t="s">
        <v>14</v>
      </c>
      <c r="B9" s="10" t="n">
        <f aca="false">Valuation!$B$9</f>
        <v>-0.0410844100798319</v>
      </c>
      <c r="C9" s="7"/>
    </row>
    <row r="10" customFormat="false" ht="15" hidden="false" customHeight="false" outlineLevel="0" collapsed="false">
      <c r="A10" s="5" t="s">
        <v>15</v>
      </c>
      <c r="B10" s="9" t="n">
        <f aca="false">Valuation!$B$10</f>
        <v>467.088331636588</v>
      </c>
      <c r="C10" s="7" t="s">
        <v>16</v>
      </c>
    </row>
    <row r="11" customFormat="false" ht="15" hidden="false" customHeight="false" outlineLevel="0" collapsed="false">
      <c r="A11" s="5" t="s">
        <v>17</v>
      </c>
      <c r="B11" s="6" t="str">
        <f aca="false">TEXT(Financials!D12,"0.00")&amp;" / "&amp;TEXT(Financials!E12,"0.00")&amp;" / "&amp;TEXT(Financials!F12,"0.00")</f>
        <v>16.81 / 20.25 / 23.29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8" t="s">
        <v>20</v>
      </c>
      <c r="C12" s="7"/>
    </row>
    <row r="13" customFormat="false" ht="35.05" hidden="false" customHeight="false" outlineLevel="0" collapsed="false">
      <c r="A13" s="5" t="s">
        <v>21</v>
      </c>
      <c r="B13" s="8" t="s">
        <v>22</v>
      </c>
      <c r="C13" s="7" t="s">
        <v>23</v>
      </c>
    </row>
    <row r="14" customFormat="false" ht="23.85" hidden="false" customHeight="false" outlineLevel="0" collapsed="false">
      <c r="A14" s="5" t="s">
        <v>24</v>
      </c>
      <c r="B14" s="8" t="s">
        <v>22</v>
      </c>
      <c r="C14" s="7" t="s">
        <v>25</v>
      </c>
    </row>
    <row r="17" customFormat="false" ht="15" hidden="false" customHeight="false" outlineLevel="0" collapsed="false">
      <c r="A17" s="11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5" customFormat="false" ht="15" hidden="false" customHeight="false" outlineLevel="0" collapsed="false">
      <c r="A25" s="0" t="s">
        <v>41</v>
      </c>
      <c r="B25" s="0" t="s">
        <v>42</v>
      </c>
    </row>
    <row r="26" customFormat="false" ht="15" hidden="false" customHeight="false" outlineLevel="0" collapsed="false">
      <c r="A26" s="0" t="s">
        <v>43</v>
      </c>
      <c r="B26" s="0" t="s">
        <v>44</v>
      </c>
    </row>
    <row r="28" customFormat="false" ht="15" hidden="false" customHeight="false" outlineLevel="0" collapsed="false">
      <c r="A28" s="12" t="s">
        <v>45</v>
      </c>
    </row>
    <row r="29" customFormat="false" ht="15" hidden="false" customHeight="false" outlineLevel="0" collapsed="false">
      <c r="A29" s="1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2"/>
  </cols>
  <sheetData>
    <row r="1" customFormat="false" ht="1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48</v>
      </c>
    </row>
    <row r="5" customFormat="false" ht="15" hidden="false" customHeight="false" outlineLevel="0" collapsed="false">
      <c r="A5" s="3" t="s">
        <v>49</v>
      </c>
      <c r="B5" s="4" t="s">
        <v>3</v>
      </c>
      <c r="C5" s="4" t="s">
        <v>50</v>
      </c>
      <c r="D5" s="4" t="s">
        <v>51</v>
      </c>
    </row>
    <row r="6" customFormat="false" ht="15" hidden="false" customHeight="false" outlineLevel="0" collapsed="false">
      <c r="A6" s="11" t="s">
        <v>52</v>
      </c>
    </row>
    <row r="7" customFormat="false" ht="15" hidden="false" customHeight="false" outlineLevel="0" collapsed="false">
      <c r="A7" s="0" t="s">
        <v>53</v>
      </c>
      <c r="B7" s="13" t="n">
        <v>485.8</v>
      </c>
      <c r="C7" s="0" t="s">
        <v>54</v>
      </c>
      <c r="D7" s="7" t="s">
        <v>55</v>
      </c>
    </row>
    <row r="8" customFormat="false" ht="15" hidden="false" customHeight="false" outlineLevel="0" collapsed="false">
      <c r="A8" s="0" t="s">
        <v>56</v>
      </c>
      <c r="B8" s="13" t="n">
        <v>487.47</v>
      </c>
      <c r="C8" s="0" t="s">
        <v>54</v>
      </c>
      <c r="D8" s="7" t="s">
        <v>57</v>
      </c>
    </row>
    <row r="9" customFormat="false" ht="15" hidden="false" customHeight="false" outlineLevel="0" collapsed="false">
      <c r="A9" s="0" t="s">
        <v>58</v>
      </c>
      <c r="B9" s="13" t="n">
        <v>279.29</v>
      </c>
      <c r="C9" s="0" t="s">
        <v>54</v>
      </c>
      <c r="D9" s="7" t="s">
        <v>57</v>
      </c>
    </row>
    <row r="10" customFormat="false" ht="15" hidden="false" customHeight="false" outlineLevel="0" collapsed="false">
      <c r="A10" s="0" t="s">
        <v>59</v>
      </c>
      <c r="B10" s="13" t="n">
        <v>2585</v>
      </c>
      <c r="C10" s="0" t="s">
        <v>60</v>
      </c>
      <c r="D10" s="7" t="s">
        <v>61</v>
      </c>
    </row>
    <row r="11" customFormat="false" ht="15" hidden="false" customHeight="false" outlineLevel="0" collapsed="false">
      <c r="A11" s="0" t="s">
        <v>62</v>
      </c>
      <c r="B11" s="13" t="n">
        <v>31.746</v>
      </c>
      <c r="C11" s="0" t="s">
        <v>60</v>
      </c>
      <c r="D11" s="7" t="s">
        <v>63</v>
      </c>
    </row>
    <row r="12" customFormat="false" ht="15" hidden="false" customHeight="false" outlineLevel="0" collapsed="false">
      <c r="A12" s="0" t="s">
        <v>64</v>
      </c>
      <c r="B12" s="14" t="n">
        <v>5</v>
      </c>
      <c r="C12" s="0" t="s">
        <v>65</v>
      </c>
      <c r="D12" s="7" t="s">
        <v>66</v>
      </c>
    </row>
    <row r="13" customFormat="false" ht="15" hidden="false" customHeight="false" outlineLevel="0" collapsed="false">
      <c r="A13" s="0" t="s">
        <v>67</v>
      </c>
      <c r="B13" s="15" t="n">
        <v>25.932</v>
      </c>
      <c r="C13" s="0" t="s">
        <v>68</v>
      </c>
      <c r="D13" s="7" t="s">
        <v>69</v>
      </c>
    </row>
    <row r="14" customFormat="false" ht="15" hidden="false" customHeight="false" outlineLevel="0" collapsed="false">
      <c r="A14" s="0" t="s">
        <v>70</v>
      </c>
      <c r="B14" s="13" t="n">
        <v>3518.01</v>
      </c>
      <c r="C14" s="0" t="s">
        <v>71</v>
      </c>
      <c r="D14" s="7" t="s">
        <v>72</v>
      </c>
    </row>
    <row r="15" customFormat="false" ht="15" hidden="false" customHeight="false" outlineLevel="0" collapsed="false">
      <c r="A15" s="0" t="s">
        <v>73</v>
      </c>
      <c r="B15" s="13" t="n">
        <v>864.27</v>
      </c>
      <c r="C15" s="0" t="s">
        <v>71</v>
      </c>
      <c r="D15" s="7" t="s">
        <v>74</v>
      </c>
    </row>
    <row r="16" customFormat="false" ht="15" hidden="false" customHeight="false" outlineLevel="0" collapsed="false">
      <c r="A16" s="0" t="s">
        <v>75</v>
      </c>
      <c r="B16" s="13" t="n">
        <v>16.56</v>
      </c>
      <c r="C16" s="0" t="s">
        <v>54</v>
      </c>
      <c r="D16" s="7" t="s">
        <v>76</v>
      </c>
    </row>
    <row r="17" customFormat="false" ht="15" hidden="false" customHeight="false" outlineLevel="0" collapsed="false">
      <c r="A17" s="0" t="s">
        <v>77</v>
      </c>
      <c r="B17" s="13" t="n">
        <v>21.33</v>
      </c>
      <c r="C17" s="0" t="s">
        <v>54</v>
      </c>
      <c r="D17" s="7" t="s">
        <v>76</v>
      </c>
    </row>
    <row r="18" customFormat="false" ht="15" hidden="false" customHeight="false" outlineLevel="0" collapsed="false">
      <c r="A18" s="0" t="s">
        <v>78</v>
      </c>
      <c r="B18" s="14" t="n">
        <v>20.73</v>
      </c>
      <c r="C18" s="0" t="s">
        <v>65</v>
      </c>
      <c r="D18" s="7" t="s">
        <v>79</v>
      </c>
    </row>
    <row r="19" customFormat="false" ht="15" hidden="false" customHeight="false" outlineLevel="0" collapsed="false">
      <c r="A19" s="0" t="s">
        <v>80</v>
      </c>
      <c r="B19" s="13" t="n">
        <v>552.26</v>
      </c>
      <c r="C19" s="0" t="s">
        <v>54</v>
      </c>
      <c r="D19" s="7" t="s">
        <v>81</v>
      </c>
    </row>
    <row r="20" customFormat="false" ht="15" hidden="false" customHeight="false" outlineLevel="0" collapsed="false">
      <c r="A20" s="11" t="s">
        <v>82</v>
      </c>
    </row>
    <row r="21" customFormat="false" ht="15" hidden="false" customHeight="false" outlineLevel="0" collapsed="false">
      <c r="A21" s="0" t="s">
        <v>83</v>
      </c>
      <c r="B21" s="13" t="n">
        <v>90.08</v>
      </c>
      <c r="C21" s="0" t="s">
        <v>84</v>
      </c>
      <c r="D21" s="7" t="s">
        <v>85</v>
      </c>
    </row>
    <row r="22" customFormat="false" ht="15" hidden="false" customHeight="false" outlineLevel="0" collapsed="false">
      <c r="A22" s="0" t="s">
        <v>86</v>
      </c>
      <c r="B22" s="13" t="n">
        <v>122.42</v>
      </c>
      <c r="C22" s="0" t="s">
        <v>84</v>
      </c>
      <c r="D22" s="7" t="s">
        <v>87</v>
      </c>
    </row>
    <row r="23" customFormat="false" ht="15" hidden="false" customHeight="false" outlineLevel="0" collapsed="false">
      <c r="A23" s="0" t="s">
        <v>88</v>
      </c>
      <c r="B23" s="16" t="n">
        <v>0.561</v>
      </c>
      <c r="C23" s="0" t="s">
        <v>89</v>
      </c>
      <c r="D23" s="7" t="s">
        <v>87</v>
      </c>
    </row>
    <row r="24" customFormat="false" ht="15" hidden="false" customHeight="false" outlineLevel="0" collapsed="false">
      <c r="A24" s="0" t="s">
        <v>90</v>
      </c>
      <c r="B24" s="16" t="n">
        <v>0.599</v>
      </c>
      <c r="C24" s="0" t="s">
        <v>89</v>
      </c>
      <c r="D24" s="7" t="s">
        <v>87</v>
      </c>
    </row>
    <row r="25" customFormat="false" ht="15" hidden="false" customHeight="false" outlineLevel="0" collapsed="false">
      <c r="A25" s="0" t="s">
        <v>91</v>
      </c>
      <c r="B25" s="16" t="n">
        <v>0.457</v>
      </c>
      <c r="C25" s="0" t="s">
        <v>89</v>
      </c>
      <c r="D25" s="7" t="s">
        <v>87</v>
      </c>
    </row>
    <row r="26" customFormat="false" ht="15" hidden="false" customHeight="false" outlineLevel="0" collapsed="false">
      <c r="A26" s="0" t="s">
        <v>92</v>
      </c>
      <c r="B26" s="16" t="n">
        <v>0.508</v>
      </c>
      <c r="C26" s="0" t="s">
        <v>89</v>
      </c>
      <c r="D26" s="7" t="s">
        <v>87</v>
      </c>
    </row>
    <row r="27" customFormat="false" ht="15" hidden="false" customHeight="false" outlineLevel="0" collapsed="false">
      <c r="A27" s="0" t="s">
        <v>93</v>
      </c>
      <c r="B27" s="13" t="n">
        <v>7.04</v>
      </c>
      <c r="C27" s="0" t="s">
        <v>54</v>
      </c>
      <c r="D27" s="7" t="s">
        <v>94</v>
      </c>
    </row>
    <row r="28" customFormat="false" ht="15" hidden="false" customHeight="false" outlineLevel="0" collapsed="false">
      <c r="A28" s="0" t="s">
        <v>95</v>
      </c>
      <c r="B28" s="13" t="n">
        <v>10.65</v>
      </c>
      <c r="C28" s="0" t="s">
        <v>54</v>
      </c>
      <c r="D28" s="7" t="s">
        <v>87</v>
      </c>
    </row>
    <row r="29" customFormat="false" ht="15" hidden="false" customHeight="false" outlineLevel="0" collapsed="false">
      <c r="A29" s="0" t="s">
        <v>96</v>
      </c>
      <c r="B29" s="13" t="n">
        <v>45.25</v>
      </c>
      <c r="C29" s="0" t="s">
        <v>60</v>
      </c>
      <c r="D29" s="7" t="s">
        <v>97</v>
      </c>
    </row>
    <row r="30" customFormat="false" ht="15" hidden="false" customHeight="false" outlineLevel="0" collapsed="false">
      <c r="A30" s="0" t="s">
        <v>98</v>
      </c>
      <c r="B30" s="13" t="n">
        <v>66.25</v>
      </c>
      <c r="C30" s="0" t="s">
        <v>60</v>
      </c>
      <c r="D30" s="7" t="s">
        <v>87</v>
      </c>
    </row>
    <row r="31" customFormat="false" ht="15" hidden="false" customHeight="false" outlineLevel="0" collapsed="false">
      <c r="A31" s="0" t="s">
        <v>99</v>
      </c>
      <c r="B31" s="16" t="n">
        <v>0.56</v>
      </c>
      <c r="C31" s="0" t="s">
        <v>89</v>
      </c>
      <c r="D31" s="7" t="s">
        <v>100</v>
      </c>
    </row>
    <row r="32" customFormat="false" ht="15" hidden="false" customHeight="false" outlineLevel="0" collapsed="false">
      <c r="A32" s="0" t="s">
        <v>101</v>
      </c>
      <c r="B32" s="16" t="n">
        <v>0.25</v>
      </c>
      <c r="C32" s="0" t="s">
        <v>89</v>
      </c>
      <c r="D32" s="7" t="s">
        <v>102</v>
      </c>
    </row>
    <row r="33" customFormat="false" ht="15" hidden="false" customHeight="false" outlineLevel="0" collapsed="false">
      <c r="A33" s="0" t="s">
        <v>103</v>
      </c>
      <c r="B33" s="13" t="n">
        <v>44.6</v>
      </c>
      <c r="C33" s="0" t="s">
        <v>84</v>
      </c>
      <c r="D33" s="7" t="s">
        <v>104</v>
      </c>
    </row>
    <row r="34" customFormat="false" ht="15" hidden="false" customHeight="false" outlineLevel="0" collapsed="false">
      <c r="A34" s="0" t="s">
        <v>105</v>
      </c>
      <c r="B34" s="13" t="n">
        <v>45.8</v>
      </c>
      <c r="C34" s="0" t="s">
        <v>84</v>
      </c>
      <c r="D34" s="7" t="s">
        <v>87</v>
      </c>
    </row>
    <row r="35" customFormat="false" ht="15" hidden="false" customHeight="false" outlineLevel="0" collapsed="false">
      <c r="A35" s="0" t="s">
        <v>106</v>
      </c>
      <c r="B35" s="13" t="n">
        <v>32</v>
      </c>
      <c r="C35" s="0" t="s">
        <v>60</v>
      </c>
      <c r="D35" s="7" t="s">
        <v>87</v>
      </c>
    </row>
    <row r="36" customFormat="false" ht="15" hidden="false" customHeight="false" outlineLevel="0" collapsed="false">
      <c r="A36" s="11" t="s">
        <v>107</v>
      </c>
    </row>
    <row r="37" customFormat="false" ht="23.85" hidden="false" customHeight="false" outlineLevel="0" collapsed="false">
      <c r="A37" s="0" t="s">
        <v>108</v>
      </c>
      <c r="B37" s="17" t="n">
        <v>0.025</v>
      </c>
      <c r="C37" s="0" t="s">
        <v>89</v>
      </c>
      <c r="D37" s="7" t="s">
        <v>109</v>
      </c>
    </row>
    <row r="38" customFormat="false" ht="15" hidden="false" customHeight="false" outlineLevel="0" collapsed="false">
      <c r="A38" s="0" t="s">
        <v>110</v>
      </c>
      <c r="B38" s="17" t="n">
        <v>0.17</v>
      </c>
      <c r="C38" s="0" t="s">
        <v>89</v>
      </c>
      <c r="D38" s="7" t="s">
        <v>111</v>
      </c>
    </row>
    <row r="39" customFormat="false" ht="15" hidden="false" customHeight="false" outlineLevel="0" collapsed="false">
      <c r="A39" s="0" t="s">
        <v>112</v>
      </c>
      <c r="B39" s="18" t="n">
        <v>46.4</v>
      </c>
      <c r="C39" s="0" t="s">
        <v>84</v>
      </c>
      <c r="D39" s="7" t="s">
        <v>113</v>
      </c>
    </row>
    <row r="40" customFormat="false" ht="15" hidden="false" customHeight="false" outlineLevel="0" collapsed="false">
      <c r="A40" s="0" t="s">
        <v>114</v>
      </c>
      <c r="B40" s="17" t="n">
        <v>0.57</v>
      </c>
      <c r="C40" s="0" t="s">
        <v>89</v>
      </c>
      <c r="D40" s="7" t="s">
        <v>115</v>
      </c>
    </row>
    <row r="41" customFormat="false" ht="15" hidden="false" customHeight="false" outlineLevel="0" collapsed="false">
      <c r="A41" s="0" t="s">
        <v>116</v>
      </c>
      <c r="B41" s="18" t="n">
        <v>49</v>
      </c>
      <c r="C41" s="0" t="s">
        <v>84</v>
      </c>
      <c r="D41" s="7" t="s">
        <v>117</v>
      </c>
    </row>
    <row r="42" customFormat="false" ht="15" hidden="false" customHeight="false" outlineLevel="0" collapsed="false">
      <c r="A42" s="0" t="s">
        <v>118</v>
      </c>
      <c r="B42" s="17" t="n">
        <v>0.56</v>
      </c>
      <c r="C42" s="0" t="s">
        <v>89</v>
      </c>
      <c r="D42" s="7" t="s">
        <v>119</v>
      </c>
    </row>
    <row r="43" customFormat="false" ht="15" hidden="false" customHeight="false" outlineLevel="0" collapsed="false">
      <c r="A43" s="0" t="s">
        <v>120</v>
      </c>
      <c r="B43" s="17" t="n">
        <v>0.24</v>
      </c>
      <c r="C43" s="0" t="s">
        <v>89</v>
      </c>
      <c r="D43" s="7" t="s">
        <v>121</v>
      </c>
    </row>
    <row r="44" customFormat="false" ht="15" hidden="false" customHeight="false" outlineLevel="0" collapsed="false">
      <c r="A44" s="0" t="s">
        <v>122</v>
      </c>
      <c r="B44" s="17" t="n">
        <v>0.18</v>
      </c>
      <c r="C44" s="0" t="s">
        <v>89</v>
      </c>
      <c r="D44" s="7" t="s">
        <v>123</v>
      </c>
    </row>
    <row r="45" customFormat="false" ht="15" hidden="false" customHeight="false" outlineLevel="0" collapsed="false">
      <c r="A45" s="0" t="s">
        <v>124</v>
      </c>
      <c r="B45" s="17" t="n">
        <v>0.57</v>
      </c>
      <c r="C45" s="0" t="s">
        <v>89</v>
      </c>
      <c r="D45" s="7" t="s">
        <v>125</v>
      </c>
    </row>
    <row r="46" customFormat="false" ht="15" hidden="false" customHeight="false" outlineLevel="0" collapsed="false">
      <c r="A46" s="0" t="s">
        <v>126</v>
      </c>
      <c r="B46" s="17" t="n">
        <v>0.555</v>
      </c>
      <c r="C46" s="0" t="s">
        <v>89</v>
      </c>
      <c r="D46" s="7" t="s">
        <v>127</v>
      </c>
    </row>
    <row r="47" customFormat="false" ht="15" hidden="false" customHeight="false" outlineLevel="0" collapsed="false">
      <c r="A47" s="0" t="s">
        <v>128</v>
      </c>
      <c r="B47" s="19" t="n">
        <v>20</v>
      </c>
      <c r="C47" s="0" t="s">
        <v>65</v>
      </c>
      <c r="D47" s="7" t="s">
        <v>129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13" min="2" style="0" width="10"/>
  </cols>
  <sheetData>
    <row r="1" customFormat="false" ht="15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131</v>
      </c>
      <c r="B4" s="4" t="s">
        <v>132</v>
      </c>
      <c r="C4" s="4" t="s">
        <v>133</v>
      </c>
      <c r="D4" s="4" t="s">
        <v>134</v>
      </c>
      <c r="E4" s="4" t="s">
        <v>135</v>
      </c>
      <c r="F4" s="4" t="s">
        <v>136</v>
      </c>
      <c r="G4" s="4" t="s">
        <v>137</v>
      </c>
      <c r="H4" s="4" t="s">
        <v>138</v>
      </c>
      <c r="I4" s="4" t="s">
        <v>139</v>
      </c>
      <c r="J4" s="4" t="s">
        <v>140</v>
      </c>
      <c r="K4" s="4" t="s">
        <v>141</v>
      </c>
      <c r="L4" s="4" t="s">
        <v>142</v>
      </c>
      <c r="M4" s="4" t="s">
        <v>143</v>
      </c>
    </row>
    <row r="5" customFormat="false" ht="15" hidden="false" customHeight="false" outlineLevel="0" collapsed="false">
      <c r="A5" s="5" t="s">
        <v>144</v>
      </c>
      <c r="B5" s="20" t="n">
        <v>18.87</v>
      </c>
      <c r="C5" s="20" t="n">
        <v>20.82</v>
      </c>
      <c r="D5" s="20" t="n">
        <v>23.5</v>
      </c>
      <c r="E5" s="20" t="n">
        <v>26.88</v>
      </c>
      <c r="F5" s="20" t="n">
        <v>25.53</v>
      </c>
      <c r="G5" s="20" t="n">
        <v>30.07</v>
      </c>
      <c r="H5" s="20" t="n">
        <v>33.1</v>
      </c>
      <c r="I5" s="20" t="n">
        <v>33.73</v>
      </c>
      <c r="J5" s="20" t="n">
        <v>35.9</v>
      </c>
      <c r="K5" s="20" t="n">
        <v>40.2</v>
      </c>
      <c r="L5" s="21" t="n">
        <f aca="false">Assumptions!$B$39</f>
        <v>46.4</v>
      </c>
      <c r="M5" s="21" t="n">
        <f aca="false">Assumptions!$B$41</f>
        <v>49</v>
      </c>
    </row>
    <row r="6" customFormat="false" ht="15" hidden="false" customHeight="false" outlineLevel="0" collapsed="false">
      <c r="A6" s="22" t="s">
        <v>145</v>
      </c>
      <c r="B6" s="20" t="n">
        <v>592.64</v>
      </c>
      <c r="C6" s="20" t="n">
        <v>673.51</v>
      </c>
      <c r="D6" s="20" t="n">
        <v>759.69</v>
      </c>
      <c r="E6" s="20" t="n">
        <v>868.46</v>
      </c>
      <c r="F6" s="20" t="n">
        <v>839.25</v>
      </c>
      <c r="G6" s="20" t="n">
        <v>933.79</v>
      </c>
      <c r="H6" s="20" t="n">
        <v>989.92</v>
      </c>
      <c r="I6" s="20" t="n">
        <v>1046.09</v>
      </c>
      <c r="J6" s="20" t="n">
        <v>1134.1</v>
      </c>
      <c r="K6" s="20" t="n">
        <v>1270.38</v>
      </c>
      <c r="L6" s="23"/>
      <c r="M6" s="23"/>
    </row>
    <row r="7" customFormat="false" ht="15" hidden="false" customHeight="false" outlineLevel="0" collapsed="false">
      <c r="A7" s="22" t="s">
        <v>146</v>
      </c>
      <c r="B7" s="24"/>
      <c r="C7" s="24"/>
      <c r="D7" s="24"/>
      <c r="E7" s="24"/>
      <c r="F7" s="24" t="n">
        <f aca="false">F5/B5-1</f>
        <v>0.352941176470588</v>
      </c>
      <c r="G7" s="24" t="n">
        <f aca="false">G5/C5-1</f>
        <v>0.444284341978866</v>
      </c>
      <c r="H7" s="24" t="n">
        <f aca="false">H5/D5-1</f>
        <v>0.408510638297873</v>
      </c>
      <c r="I7" s="24" t="n">
        <f aca="false">I5/E5-1</f>
        <v>0.25483630952381</v>
      </c>
      <c r="J7" s="24" t="n">
        <f aca="false">J5/F5-1</f>
        <v>0.406188797493145</v>
      </c>
      <c r="K7" s="24" t="n">
        <f aca="false">K5/G5-1</f>
        <v>0.336880611905554</v>
      </c>
      <c r="L7" s="24" t="n">
        <f aca="false">L5/H5-1</f>
        <v>0.401812688821752</v>
      </c>
      <c r="M7" s="24" t="n">
        <f aca="false">M5/I5-1</f>
        <v>0.452712718648088</v>
      </c>
    </row>
    <row r="8" customFormat="false" ht="15" hidden="false" customHeight="false" outlineLevel="0" collapsed="false">
      <c r="A8" s="5" t="s">
        <v>147</v>
      </c>
      <c r="B8" s="25" t="n">
        <v>0.531</v>
      </c>
      <c r="C8" s="25" t="n">
        <v>0.532</v>
      </c>
      <c r="D8" s="25" t="n">
        <v>0.578</v>
      </c>
      <c r="E8" s="25" t="n">
        <v>0.59</v>
      </c>
      <c r="F8" s="25" t="n">
        <v>0.588</v>
      </c>
      <c r="G8" s="25" t="n">
        <v>0.586</v>
      </c>
      <c r="H8" s="25" t="n">
        <v>0.595</v>
      </c>
      <c r="I8" s="25" t="n">
        <v>0.623</v>
      </c>
      <c r="J8" s="25" t="n">
        <v>0.662</v>
      </c>
      <c r="K8" s="25" t="n">
        <v>0.677</v>
      </c>
      <c r="L8" s="24"/>
      <c r="M8" s="24"/>
    </row>
    <row r="9" customFormat="false" ht="15" hidden="false" customHeight="false" outlineLevel="0" collapsed="false">
      <c r="A9" s="22" t="s">
        <v>148</v>
      </c>
      <c r="B9" s="25" t="n">
        <v>0.42</v>
      </c>
      <c r="C9" s="25" t="n">
        <v>0.425</v>
      </c>
      <c r="D9" s="25" t="n">
        <v>0.475</v>
      </c>
      <c r="E9" s="25" t="n">
        <v>0.49</v>
      </c>
      <c r="F9" s="25" t="n">
        <v>0.485</v>
      </c>
      <c r="G9" s="25" t="n">
        <v>0.496</v>
      </c>
      <c r="H9" s="25" t="n">
        <v>0.506</v>
      </c>
      <c r="I9" s="25" t="n">
        <v>0.54</v>
      </c>
      <c r="J9" s="25" t="n">
        <v>0.581</v>
      </c>
      <c r="K9" s="25" t="n">
        <v>0.603</v>
      </c>
      <c r="L9" s="10" t="n">
        <f aca="false">Assumptions!$B$40</f>
        <v>0.57</v>
      </c>
      <c r="M9" s="10" t="n">
        <f aca="false">Assumptions!$B$42</f>
        <v>0.56</v>
      </c>
    </row>
    <row r="10" customFormat="false" ht="15" hidden="false" customHeight="false" outlineLevel="0" collapsed="false">
      <c r="A10" s="22" t="s">
        <v>149</v>
      </c>
      <c r="B10" s="20" t="n">
        <v>8.7</v>
      </c>
      <c r="C10" s="20" t="n">
        <v>9.56</v>
      </c>
      <c r="D10" s="20" t="n">
        <v>12.54</v>
      </c>
      <c r="E10" s="20" t="n">
        <v>14.45</v>
      </c>
      <c r="F10" s="20" t="n">
        <v>13.94</v>
      </c>
      <c r="G10" s="20" t="n">
        <v>15.36</v>
      </c>
      <c r="H10" s="20" t="n">
        <v>17.44</v>
      </c>
      <c r="I10" s="20" t="n">
        <v>19.5</v>
      </c>
      <c r="J10" s="20" t="n">
        <v>22.08</v>
      </c>
      <c r="K10" s="20" t="n">
        <v>27.25</v>
      </c>
      <c r="L10" s="23"/>
      <c r="M10" s="23"/>
    </row>
    <row r="11" customFormat="false" ht="15" hidden="false" customHeight="false" outlineLevel="0" collapsed="false">
      <c r="A11" s="5" t="s">
        <v>150</v>
      </c>
      <c r="B11" s="26" t="n">
        <v>1.38</v>
      </c>
      <c r="C11" s="26" t="n">
        <v>1.48</v>
      </c>
      <c r="D11" s="26" t="n">
        <v>1.94</v>
      </c>
      <c r="E11" s="26" t="n">
        <v>2.24</v>
      </c>
      <c r="F11" s="26" t="n">
        <v>2.12</v>
      </c>
      <c r="G11" s="26" t="n">
        <v>2.47</v>
      </c>
      <c r="H11" s="26" t="n">
        <v>2.92</v>
      </c>
      <c r="I11" s="26" t="n">
        <v>3.14</v>
      </c>
      <c r="J11" s="26" t="n">
        <v>3.49</v>
      </c>
      <c r="K11" s="26" t="n">
        <v>4.31</v>
      </c>
      <c r="L11" s="9" t="n">
        <f aca="false">L5*(L9+Assumptions!$B$37)*(1-Assumptions!$B$38)*(Assumptions!$B$12/Assumptions!$B$13)</f>
        <v>4.41821687490359</v>
      </c>
      <c r="M11" s="9" t="n">
        <f aca="false">M5*(M9+Assumptions!$B$37)*(1-Assumptions!$B$38)*(Assumptions!$B$12/Assumptions!$B$13)</f>
        <v>4.58737274409995</v>
      </c>
    </row>
    <row r="12" customFormat="false" ht="15" hidden="false" customHeight="false" outlineLevel="0" collapsed="false">
      <c r="A12" s="22" t="s">
        <v>151</v>
      </c>
      <c r="B12" s="27" t="n">
        <v>0.46</v>
      </c>
      <c r="C12" s="27" t="n">
        <v>0.52</v>
      </c>
      <c r="D12" s="27" t="n">
        <v>0.51</v>
      </c>
      <c r="E12" s="27" t="n">
        <v>0.53</v>
      </c>
      <c r="F12" s="27" t="n">
        <v>0.59</v>
      </c>
      <c r="G12" s="27" t="n">
        <v>0.6</v>
      </c>
      <c r="H12" s="27" t="n">
        <v>0.57</v>
      </c>
      <c r="I12" s="27" t="n">
        <v>0.55</v>
      </c>
      <c r="J12" s="27" t="n">
        <v>0.61</v>
      </c>
      <c r="K12" s="27" t="n">
        <v>0.66</v>
      </c>
      <c r="L12" s="28"/>
      <c r="M12" s="28"/>
    </row>
    <row r="13" customFormat="false" ht="15" hidden="false" customHeight="false" outlineLevel="0" collapsed="false">
      <c r="A13" s="22" t="s">
        <v>152</v>
      </c>
      <c r="B13" s="27" t="n">
        <v>0.65</v>
      </c>
      <c r="C13" s="27" t="n">
        <v>0.67</v>
      </c>
      <c r="D13" s="27" t="n">
        <v>0.69</v>
      </c>
      <c r="E13" s="27" t="n">
        <v>0.74</v>
      </c>
      <c r="F13" s="27" t="n">
        <v>0.73</v>
      </c>
      <c r="G13" s="27" t="n">
        <v>0.74</v>
      </c>
      <c r="H13" s="27" t="n">
        <v>0.74</v>
      </c>
      <c r="I13" s="27" t="n">
        <v>0.77</v>
      </c>
      <c r="J13" s="27" t="n">
        <v>0.74</v>
      </c>
      <c r="K13" s="27" t="n">
        <v>0.77</v>
      </c>
      <c r="L13" s="28"/>
      <c r="M13" s="28"/>
    </row>
    <row r="14" customFormat="false" ht="15" hidden="false" customHeight="false" outlineLevel="0" collapsed="false">
      <c r="A14" s="22" t="s">
        <v>153</v>
      </c>
      <c r="B14" s="29" t="n">
        <f aca="false">(B8-Assumptions!$B$31)*100</f>
        <v>-2.9</v>
      </c>
      <c r="C14" s="29" t="n">
        <f aca="false">(C8-Assumptions!$B$31)*100</f>
        <v>-2.8</v>
      </c>
      <c r="D14" s="29" t="n">
        <f aca="false">(D8-Assumptions!$B$31)*100</f>
        <v>1.79999999999999</v>
      </c>
      <c r="E14" s="29" t="n">
        <f aca="false">(E8-Assumptions!$B$31)*100</f>
        <v>2.99999999999999</v>
      </c>
      <c r="F14" s="29" t="n">
        <f aca="false">(F8-Assumptions!$B$31)*100</f>
        <v>2.79999999999999</v>
      </c>
      <c r="G14" s="29" t="n">
        <f aca="false">(G8-Assumptions!$B$31)*100</f>
        <v>2.59999999999999</v>
      </c>
      <c r="H14" s="29" t="n">
        <f aca="false">(H8-Assumptions!$B$31)*100</f>
        <v>3.49999999999999</v>
      </c>
      <c r="I14" s="29" t="n">
        <f aca="false">(I8-Assumptions!$B$31)*100</f>
        <v>6.29999999999999</v>
      </c>
      <c r="J14" s="29" t="n">
        <f aca="false">(J8-Assumptions!$B$31)*100</f>
        <v>10.2</v>
      </c>
      <c r="K14" s="29" t="n">
        <f aca="false">(K8-Assumptions!$B$31)*100</f>
        <v>11.7</v>
      </c>
      <c r="L14" s="30"/>
      <c r="M14" s="30"/>
    </row>
    <row r="16" customFormat="false" ht="15" hidden="false" customHeight="false" outlineLevel="0" collapsed="false">
      <c r="A16" s="11" t="s">
        <v>154</v>
      </c>
    </row>
    <row r="17" customFormat="false" ht="15" hidden="false" customHeight="false" outlineLevel="0" collapsed="false">
      <c r="A17" s="3" t="s">
        <v>2</v>
      </c>
      <c r="B17" s="4" t="s">
        <v>137</v>
      </c>
      <c r="C17" s="4" t="s">
        <v>140</v>
      </c>
      <c r="D17" s="4" t="s">
        <v>141</v>
      </c>
      <c r="E17" s="4" t="s">
        <v>4</v>
      </c>
    </row>
    <row r="18" customFormat="false" ht="15" hidden="false" customHeight="false" outlineLevel="0" collapsed="false">
      <c r="A18" s="0" t="s">
        <v>155</v>
      </c>
      <c r="B18" s="31" t="n">
        <v>3718</v>
      </c>
      <c r="C18" s="31" t="n">
        <v>4174</v>
      </c>
      <c r="D18" s="31" t="n">
        <v>4336</v>
      </c>
      <c r="E18" s="12" t="s">
        <v>156</v>
      </c>
    </row>
    <row r="19" customFormat="false" ht="15" hidden="false" customHeight="false" outlineLevel="0" collapsed="false">
      <c r="A19" s="0" t="s">
        <v>157</v>
      </c>
      <c r="B19" s="32" t="n">
        <f aca="false">G6/B18*1000</f>
        <v>251.153846153846</v>
      </c>
      <c r="C19" s="32" t="n">
        <f aca="false">J6/C18*1000</f>
        <v>271.705797795879</v>
      </c>
      <c r="D19" s="32" t="n">
        <f aca="false">K6/D18*1000</f>
        <v>292.984317343174</v>
      </c>
    </row>
    <row r="20" customFormat="false" ht="15" hidden="false" customHeight="false" outlineLevel="0" collapsed="false">
      <c r="A20" s="0" t="s">
        <v>158</v>
      </c>
      <c r="B20" s="33" t="n">
        <f aca="false">D18/B18-1</f>
        <v>0.166218396987628</v>
      </c>
    </row>
    <row r="21" customFormat="false" ht="15" hidden="false" customHeight="false" outlineLevel="0" collapsed="false">
      <c r="A21" s="0" t="s">
        <v>159</v>
      </c>
      <c r="B21" s="33" t="n">
        <f aca="false">D19/B19-1</f>
        <v>0.166553177782927</v>
      </c>
    </row>
    <row r="22" customFormat="false" ht="15" hidden="false" customHeight="false" outlineLevel="0" collapsed="false">
      <c r="A22" s="0" t="s">
        <v>160</v>
      </c>
      <c r="B22" s="34" t="n">
        <v>28.83</v>
      </c>
      <c r="C22" s="34" t="n">
        <v>95.83</v>
      </c>
    </row>
    <row r="23" customFormat="false" ht="15" hidden="false" customHeight="false" outlineLevel="0" collapsed="false">
      <c r="A23" s="0" t="s">
        <v>161</v>
      </c>
      <c r="B23" s="35" t="n">
        <f aca="false">(C22-B22)*(1-Assumptions!$B$38)/Assumptions!$B$13*Assumptions!$B$12/31.6</f>
        <v>0.339312456922389</v>
      </c>
      <c r="E23" s="12" t="s">
        <v>162</v>
      </c>
    </row>
    <row r="24" customFormat="false" ht="15" hidden="false" customHeight="false" outlineLevel="0" collapsed="false">
      <c r="A24" s="0" t="s">
        <v>163</v>
      </c>
      <c r="B24" s="34" t="n">
        <v>350.76</v>
      </c>
      <c r="C24" s="34" t="n">
        <v>496</v>
      </c>
      <c r="D24" s="36" t="n">
        <f aca="false">B24+C24</f>
        <v>846.76</v>
      </c>
      <c r="E24" s="12" t="s">
        <v>164</v>
      </c>
    </row>
    <row r="25" customFormat="false" ht="15" hidden="false" customHeight="false" outlineLevel="0" collapsed="false">
      <c r="A25" s="0" t="s">
        <v>165</v>
      </c>
      <c r="B25" s="34" t="n">
        <v>956.01</v>
      </c>
      <c r="C25" s="34" t="n">
        <v>1272.41</v>
      </c>
    </row>
    <row r="27" customFormat="false" ht="15" hidden="false" customHeight="false" outlineLevel="0" collapsed="false">
      <c r="A27" s="12" t="s">
        <v>166</v>
      </c>
    </row>
    <row r="28" customFormat="false" ht="15" hidden="false" customHeight="false" outlineLevel="0" collapsed="false">
      <c r="A28" s="12" t="s">
        <v>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1" t="s">
        <v>168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169</v>
      </c>
      <c r="B4" s="4" t="s">
        <v>145</v>
      </c>
      <c r="C4" s="4" t="s">
        <v>4</v>
      </c>
    </row>
    <row r="5" customFormat="false" ht="15" hidden="false" customHeight="false" outlineLevel="0" collapsed="false">
      <c r="A5" s="0" t="s">
        <v>170</v>
      </c>
      <c r="B5" s="13" t="n">
        <v>293.29</v>
      </c>
    </row>
    <row r="6" customFormat="false" ht="15" hidden="false" customHeight="false" outlineLevel="0" collapsed="false">
      <c r="A6" s="0" t="s">
        <v>171</v>
      </c>
      <c r="B6" s="13" t="n">
        <v>260.01</v>
      </c>
    </row>
    <row r="7" customFormat="false" ht="15" hidden="false" customHeight="false" outlineLevel="0" collapsed="false">
      <c r="A7" s="0" t="s">
        <v>172</v>
      </c>
      <c r="B7" s="13" t="n">
        <v>285.96</v>
      </c>
    </row>
    <row r="8" customFormat="false" ht="15" hidden="false" customHeight="false" outlineLevel="0" collapsed="false">
      <c r="A8" s="0" t="s">
        <v>173</v>
      </c>
      <c r="B8" s="13" t="n">
        <v>349.57</v>
      </c>
    </row>
    <row r="9" customFormat="false" ht="15" hidden="false" customHeight="false" outlineLevel="0" collapsed="false">
      <c r="A9" s="0" t="s">
        <v>174</v>
      </c>
      <c r="B9" s="13" t="n">
        <v>320.52</v>
      </c>
    </row>
    <row r="10" customFormat="false" ht="15" hidden="false" customHeight="false" outlineLevel="0" collapsed="false">
      <c r="A10" s="0" t="s">
        <v>175</v>
      </c>
      <c r="B10" s="13" t="n">
        <v>263.71</v>
      </c>
    </row>
    <row r="11" customFormat="false" ht="15" hidden="false" customHeight="false" outlineLevel="0" collapsed="false">
      <c r="A11" s="0" t="s">
        <v>176</v>
      </c>
      <c r="B11" s="13" t="n">
        <v>323.17</v>
      </c>
    </row>
    <row r="12" customFormat="false" ht="15" hidden="false" customHeight="false" outlineLevel="0" collapsed="false">
      <c r="A12" s="0" t="s">
        <v>177</v>
      </c>
      <c r="B12" s="13" t="n">
        <v>335.77</v>
      </c>
    </row>
    <row r="13" customFormat="false" ht="15" hidden="false" customHeight="false" outlineLevel="0" collapsed="false">
      <c r="A13" s="0" t="s">
        <v>178</v>
      </c>
      <c r="B13" s="13" t="n">
        <v>330.98</v>
      </c>
    </row>
    <row r="14" customFormat="false" ht="15" hidden="false" customHeight="false" outlineLevel="0" collapsed="false">
      <c r="A14" s="0" t="s">
        <v>179</v>
      </c>
      <c r="B14" s="13" t="n">
        <v>367.47</v>
      </c>
    </row>
    <row r="15" customFormat="false" ht="15" hidden="false" customHeight="false" outlineLevel="0" collapsed="false">
      <c r="A15" s="0" t="s">
        <v>180</v>
      </c>
      <c r="B15" s="13" t="n">
        <v>343.61</v>
      </c>
    </row>
    <row r="16" customFormat="false" ht="15" hidden="false" customHeight="false" outlineLevel="0" collapsed="false">
      <c r="A16" s="0" t="s">
        <v>181</v>
      </c>
      <c r="B16" s="13" t="n">
        <v>335</v>
      </c>
    </row>
    <row r="17" customFormat="false" ht="15" hidden="false" customHeight="false" outlineLevel="0" collapsed="false">
      <c r="A17" s="0" t="s">
        <v>182</v>
      </c>
      <c r="B17" s="13" t="n">
        <v>401.26</v>
      </c>
    </row>
    <row r="18" customFormat="false" ht="15" hidden="false" customHeight="false" outlineLevel="0" collapsed="false">
      <c r="A18" s="0" t="s">
        <v>183</v>
      </c>
      <c r="B18" s="13" t="n">
        <v>317.66</v>
      </c>
    </row>
    <row r="19" customFormat="false" ht="15" hidden="false" customHeight="false" outlineLevel="0" collapsed="false">
      <c r="A19" s="0" t="s">
        <v>184</v>
      </c>
      <c r="B19" s="13" t="n">
        <v>415.19</v>
      </c>
    </row>
    <row r="20" customFormat="false" ht="15" hidden="false" customHeight="false" outlineLevel="0" collapsed="false">
      <c r="A20" s="0" t="s">
        <v>185</v>
      </c>
      <c r="B20" s="13" t="n">
        <v>410.73</v>
      </c>
    </row>
    <row r="21" customFormat="false" ht="15" hidden="false" customHeight="false" outlineLevel="0" collapsed="false">
      <c r="A21" s="0" t="s">
        <v>186</v>
      </c>
      <c r="B21" s="13" t="n">
        <v>416.98</v>
      </c>
    </row>
    <row r="22" customFormat="false" ht="15" hidden="false" customHeight="false" outlineLevel="0" collapsed="false">
      <c r="A22" s="0" t="s">
        <v>187</v>
      </c>
      <c r="B22" s="13" t="n">
        <v>442.68</v>
      </c>
    </row>
    <row r="23" customFormat="false" ht="15" hidden="false" customHeight="false" outlineLevel="0" collapsed="false">
      <c r="A23" s="0" t="s">
        <v>188</v>
      </c>
      <c r="B23" s="13" t="n">
        <v>467.58</v>
      </c>
    </row>
    <row r="24" customFormat="false" ht="15" hidden="false" customHeight="false" outlineLevel="0" collapsed="false">
      <c r="A24" s="0" t="s">
        <v>189</v>
      </c>
      <c r="B24" s="13" t="n">
        <v>514.81</v>
      </c>
    </row>
    <row r="26" customFormat="false" ht="15" hidden="false" customHeight="false" outlineLevel="0" collapsed="false">
      <c r="A26" s="11" t="s">
        <v>190</v>
      </c>
    </row>
    <row r="27" customFormat="false" ht="15" hidden="false" customHeight="false" outlineLevel="0" collapsed="false">
      <c r="A27" s="0" t="s">
        <v>191</v>
      </c>
      <c r="B27" s="36" t="n">
        <f aca="false">B23+B24</f>
        <v>982.39</v>
      </c>
      <c r="C27" s="12" t="s">
        <v>192</v>
      </c>
    </row>
    <row r="28" customFormat="false" ht="15" hidden="false" customHeight="false" outlineLevel="0" collapsed="false">
      <c r="A28" s="0" t="s">
        <v>193</v>
      </c>
      <c r="B28" s="36" t="n">
        <f aca="false">Assumptions!$B$33*Assumptions!$B$35</f>
        <v>1427.2</v>
      </c>
      <c r="C28" s="12"/>
    </row>
    <row r="29" customFormat="false" ht="15" hidden="false" customHeight="false" outlineLevel="0" collapsed="false">
      <c r="A29" s="0" t="s">
        <v>194</v>
      </c>
      <c r="B29" s="36" t="n">
        <f aca="false">Assumptions!$B$34*Assumptions!$B$35</f>
        <v>1465.6</v>
      </c>
      <c r="C29" s="12"/>
    </row>
    <row r="30" customFormat="false" ht="15" hidden="false" customHeight="false" outlineLevel="0" collapsed="false">
      <c r="A30" s="0" t="s">
        <v>195</v>
      </c>
      <c r="B30" s="36" t="n">
        <f aca="false">B28-B27</f>
        <v>444.81</v>
      </c>
      <c r="C30" s="12"/>
    </row>
    <row r="31" customFormat="false" ht="15" hidden="false" customHeight="false" outlineLevel="0" collapsed="false">
      <c r="A31" s="0" t="s">
        <v>196</v>
      </c>
      <c r="B31" s="36" t="n">
        <f aca="false">B29-B27</f>
        <v>483.21</v>
      </c>
      <c r="C31" s="12" t="s">
        <v>197</v>
      </c>
    </row>
    <row r="32" customFormat="false" ht="15" hidden="false" customHeight="false" outlineLevel="0" collapsed="false">
      <c r="A32" s="0" t="s">
        <v>198</v>
      </c>
      <c r="B32" s="36" t="n">
        <f aca="false">(Assumptions!$B$33+Assumptions!$B$34)/2*Assumptions!$B$35/3</f>
        <v>482.133333333333</v>
      </c>
      <c r="C32" s="12" t="s">
        <v>199</v>
      </c>
    </row>
    <row r="33" customFormat="false" ht="15" hidden="false" customHeight="false" outlineLevel="0" collapsed="false">
      <c r="A33" s="0" t="s">
        <v>200</v>
      </c>
      <c r="B33" s="33" t="n">
        <f aca="false">B24/B12-1</f>
        <v>0.533222146111922</v>
      </c>
      <c r="C33" s="12" t="s">
        <v>201</v>
      </c>
    </row>
    <row r="35" customFormat="false" ht="15" hidden="false" customHeight="false" outlineLevel="0" collapsed="false">
      <c r="A35" s="12" t="s">
        <v>202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8"/>
    <col collapsed="false" customWidth="true" hidden="false" outlineLevel="0" max="6" min="2" style="0" width="13"/>
  </cols>
  <sheetData>
    <row r="1" customFormat="false" ht="15" hidden="false" customHeight="false" outlineLevel="0" collapsed="false">
      <c r="A1" s="1" t="s">
        <v>203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204</v>
      </c>
      <c r="C4" s="4" t="s">
        <v>205</v>
      </c>
      <c r="D4" s="4" t="s">
        <v>206</v>
      </c>
      <c r="E4" s="4" t="s">
        <v>207</v>
      </c>
      <c r="F4" s="4" t="s">
        <v>208</v>
      </c>
    </row>
    <row r="5" customFormat="false" ht="15" hidden="false" customHeight="false" outlineLevel="0" collapsed="false">
      <c r="A5" s="5" t="s">
        <v>209</v>
      </c>
      <c r="B5" s="21" t="n">
        <f aca="false">Assumptions!$B$21</f>
        <v>90.08</v>
      </c>
      <c r="C5" s="21" t="n">
        <f aca="false">Assumptions!$B$22</f>
        <v>122.42</v>
      </c>
      <c r="D5" s="23" t="n">
        <f aca="false">SUM(Quarterly!J5:M5)</f>
        <v>171.5</v>
      </c>
      <c r="E5" s="23" t="n">
        <f aca="false">D5*(1+Assumptions!$B$43)</f>
        <v>212.66</v>
      </c>
      <c r="F5" s="23" t="n">
        <f aca="false">E5*(1+Assumptions!$B$44)</f>
        <v>250.9388</v>
      </c>
    </row>
    <row r="6" customFormat="false" ht="15" hidden="false" customHeight="false" outlineLevel="0" collapsed="false">
      <c r="A6" s="22" t="s">
        <v>210</v>
      </c>
      <c r="B6" s="24"/>
      <c r="C6" s="24" t="n">
        <f aca="false">C5/B5-1</f>
        <v>0.359014209591474</v>
      </c>
      <c r="D6" s="24" t="n">
        <f aca="false">D5/C5-1</f>
        <v>0.400914883189021</v>
      </c>
      <c r="E6" s="24" t="n">
        <f aca="false">E5/D5-1</f>
        <v>0.24</v>
      </c>
      <c r="F6" s="24" t="n">
        <f aca="false">F5/E5-1</f>
        <v>0.18</v>
      </c>
    </row>
    <row r="7" customFormat="false" ht="15" hidden="false" customHeight="false" outlineLevel="0" collapsed="false">
      <c r="A7" s="22" t="s">
        <v>211</v>
      </c>
      <c r="B7" s="10" t="n">
        <f aca="false">Assumptions!$B$23</f>
        <v>0.561</v>
      </c>
      <c r="C7" s="10" t="n">
        <f aca="false">Assumptions!$B$24</f>
        <v>0.599</v>
      </c>
      <c r="D7" s="24"/>
      <c r="E7" s="24"/>
      <c r="F7" s="24"/>
    </row>
    <row r="8" customFormat="false" ht="15" hidden="false" customHeight="false" outlineLevel="0" collapsed="false">
      <c r="A8" s="22" t="s">
        <v>148</v>
      </c>
      <c r="B8" s="10" t="n">
        <f aca="false">Assumptions!$B$25</f>
        <v>0.457</v>
      </c>
      <c r="C8" s="10" t="n">
        <f aca="false">Assumptions!$B$26</f>
        <v>0.508</v>
      </c>
      <c r="D8" s="24" t="n">
        <f aca="false">SUMPRODUCT(Quarterly!J5:M5,Quarterly!J9:M9)/D5</f>
        <v>0.577180758017493</v>
      </c>
      <c r="E8" s="10" t="n">
        <f aca="false">Assumptions!$B$45</f>
        <v>0.57</v>
      </c>
      <c r="F8" s="10" t="n">
        <f aca="false">Assumptions!$B$46</f>
        <v>0.555</v>
      </c>
    </row>
    <row r="9" customFormat="false" ht="15" hidden="false" customHeight="false" outlineLevel="0" collapsed="false">
      <c r="A9" s="5" t="s">
        <v>212</v>
      </c>
      <c r="B9" s="23" t="n">
        <f aca="false">B5*B8</f>
        <v>41.16656</v>
      </c>
      <c r="C9" s="23" t="n">
        <f aca="false">C5*C8</f>
        <v>62.18936</v>
      </c>
      <c r="D9" s="23" t="n">
        <f aca="false">D5*D8</f>
        <v>98.9865</v>
      </c>
      <c r="E9" s="23" t="n">
        <f aca="false">E5*E8</f>
        <v>121.2162</v>
      </c>
      <c r="F9" s="23" t="n">
        <f aca="false">F5*F8</f>
        <v>139.271034</v>
      </c>
    </row>
    <row r="10" customFormat="false" ht="15" hidden="false" customHeight="false" outlineLevel="0" collapsed="false">
      <c r="A10" s="22" t="s">
        <v>213</v>
      </c>
      <c r="B10" s="23"/>
      <c r="C10" s="23"/>
      <c r="D10" s="23" t="n">
        <f aca="false">D5*Assumptions!$B$37</f>
        <v>4.2875</v>
      </c>
      <c r="E10" s="23" t="n">
        <f aca="false">E5*Assumptions!$B$37</f>
        <v>5.3165</v>
      </c>
      <c r="F10" s="23" t="n">
        <f aca="false">F5*Assumptions!$B$37</f>
        <v>6.27347</v>
      </c>
    </row>
    <row r="11" customFormat="false" ht="15" hidden="false" customHeight="false" outlineLevel="0" collapsed="false">
      <c r="A11" s="22" t="s">
        <v>214</v>
      </c>
      <c r="B11" s="23"/>
      <c r="C11" s="23"/>
      <c r="D11" s="23" t="n">
        <f aca="false">(D9+D10)*(1-Assumptions!$B$38)</f>
        <v>85.71742</v>
      </c>
      <c r="E11" s="23" t="n">
        <f aca="false">(E9+E10)*(1-Assumptions!$B$38)</f>
        <v>105.022141</v>
      </c>
      <c r="F11" s="23" t="n">
        <f aca="false">(F9+F10)*(1-Assumptions!$B$38)</f>
        <v>120.80193832</v>
      </c>
    </row>
    <row r="12" customFormat="false" ht="15" hidden="false" customHeight="false" outlineLevel="0" collapsed="false">
      <c r="A12" s="5" t="s">
        <v>215</v>
      </c>
      <c r="B12" s="9" t="n">
        <f aca="false">Assumptions!$B$27</f>
        <v>7.04</v>
      </c>
      <c r="C12" s="9" t="n">
        <f aca="false">Assumptions!$B$28</f>
        <v>10.65</v>
      </c>
      <c r="D12" s="37" t="n">
        <f aca="false">SUM(Quarterly!J11:M11)</f>
        <v>16.8055896190036</v>
      </c>
      <c r="E12" s="37" t="n">
        <f aca="false">E11*(Assumptions!$B$12/Assumptions!$B$13)</f>
        <v>20.2495258753663</v>
      </c>
      <c r="F12" s="37" t="n">
        <f aca="false">F11*(Assumptions!$B$12/Assumptions!$B$13)</f>
        <v>23.2920596791609</v>
      </c>
    </row>
    <row r="13" customFormat="false" ht="15" hidden="false" customHeight="false" outlineLevel="0" collapsed="false">
      <c r="A13" s="22" t="s">
        <v>216</v>
      </c>
      <c r="B13" s="24"/>
      <c r="C13" s="24" t="n">
        <f aca="false">C12/B12-1</f>
        <v>0.512784090909091</v>
      </c>
      <c r="D13" s="24" t="n">
        <f aca="false">D12/C12-1</f>
        <v>0.577989635587188</v>
      </c>
      <c r="E13" s="24" t="n">
        <f aca="false">E12/D12-1</f>
        <v>0.20492802302327</v>
      </c>
      <c r="F13" s="24" t="n">
        <f aca="false">F12/E12-1</f>
        <v>0.150252100840336</v>
      </c>
    </row>
    <row r="14" customFormat="false" ht="15" hidden="false" customHeight="false" outlineLevel="0" collapsed="false">
      <c r="A14" s="22" t="s">
        <v>217</v>
      </c>
      <c r="B14" s="38" t="n">
        <f aca="false">Assumptions!$B$7/B12</f>
        <v>69.0056818181818</v>
      </c>
      <c r="C14" s="38" t="n">
        <f aca="false">Assumptions!$B$7/C12</f>
        <v>45.6150234741784</v>
      </c>
      <c r="D14" s="38" t="n">
        <f aca="false">Assumptions!$B$7/D12</f>
        <v>28.9070488458592</v>
      </c>
      <c r="E14" s="38" t="n">
        <f aca="false">Assumptions!$B$7/E12</f>
        <v>23.9906851641884</v>
      </c>
      <c r="F14" s="38" t="n">
        <f aca="false">Assumptions!$B$7/F12</f>
        <v>20.8568931512158</v>
      </c>
    </row>
    <row r="17" customFormat="false" ht="15" hidden="false" customHeight="false" outlineLevel="0" collapsed="false">
      <c r="A17" s="12" t="s">
        <v>218</v>
      </c>
    </row>
    <row r="18" customFormat="false" ht="15" hidden="false" customHeight="false" outlineLevel="0" collapsed="false">
      <c r="A18" s="12" t="s">
        <v>219</v>
      </c>
    </row>
    <row r="19" customFormat="false" ht="15" hidden="false" customHeight="false" outlineLevel="0" collapsed="false">
      <c r="A19" s="12" t="s">
        <v>220</v>
      </c>
    </row>
    <row r="20" customFormat="false" ht="15" hidden="false" customHeight="false" outlineLevel="0" collapsed="false">
      <c r="A20" s="12" t="s">
        <v>221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222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223</v>
      </c>
      <c r="B4" s="4" t="s">
        <v>3</v>
      </c>
      <c r="C4" s="4" t="s">
        <v>224</v>
      </c>
    </row>
    <row r="5" customFormat="false" ht="15" hidden="false" customHeight="false" outlineLevel="0" collapsed="false">
      <c r="A5" s="0" t="s">
        <v>225</v>
      </c>
      <c r="B5" s="35" t="n">
        <f aca="false">Financials!F12</f>
        <v>23.2920596791609</v>
      </c>
      <c r="C5" s="7" t="s">
        <v>226</v>
      </c>
    </row>
    <row r="6" customFormat="false" ht="15" hidden="false" customHeight="false" outlineLevel="0" collapsed="false">
      <c r="A6" s="0" t="s">
        <v>227</v>
      </c>
      <c r="B6" s="39" t="n">
        <f aca="false">Assumptions!$B$47</f>
        <v>20</v>
      </c>
      <c r="C6" s="7" t="s">
        <v>228</v>
      </c>
    </row>
    <row r="7" customFormat="false" ht="15" hidden="false" customHeight="false" outlineLevel="0" collapsed="false">
      <c r="A7" s="5" t="s">
        <v>229</v>
      </c>
      <c r="B7" s="40" t="n">
        <f aca="false">B5*B6</f>
        <v>465.841193583218</v>
      </c>
      <c r="C7" s="7" t="s">
        <v>230</v>
      </c>
    </row>
    <row r="8" customFormat="false" ht="15" hidden="false" customHeight="false" outlineLevel="0" collapsed="false">
      <c r="A8" s="0" t="s">
        <v>231</v>
      </c>
      <c r="B8" s="35" t="n">
        <f aca="false">Assumptions!$B$7</f>
        <v>485.8</v>
      </c>
      <c r="C8" s="7" t="s">
        <v>232</v>
      </c>
    </row>
    <row r="9" customFormat="false" ht="15" hidden="false" customHeight="false" outlineLevel="0" collapsed="false">
      <c r="A9" s="0" t="s">
        <v>14</v>
      </c>
      <c r="B9" s="33" t="n">
        <f aca="false">B7/B8-1</f>
        <v>-0.0410844100798319</v>
      </c>
      <c r="C9" s="7" t="s">
        <v>233</v>
      </c>
    </row>
    <row r="10" customFormat="false" ht="15" hidden="false" customHeight="false" outlineLevel="0" collapsed="false">
      <c r="A10" s="0" t="s">
        <v>15</v>
      </c>
      <c r="B10" s="35" t="n">
        <f aca="false">Scenarios!F11</f>
        <v>467.088331636588</v>
      </c>
      <c r="C10" s="7" t="s">
        <v>234</v>
      </c>
    </row>
    <row r="11" customFormat="false" ht="23.85" hidden="false" customHeight="false" outlineLevel="0" collapsed="false">
      <c r="A11" s="5" t="s">
        <v>235</v>
      </c>
      <c r="B11" s="41" t="str">
        <f aca="false">IF(B9&gt;0.15,"LONG",IF(B9&lt;-0.15,"SHORT","NO CALL"))</f>
        <v>NO CALL</v>
      </c>
      <c r="C11" s="7" t="s">
        <v>236</v>
      </c>
    </row>
    <row r="12" customFormat="false" ht="15" hidden="false" customHeight="false" outlineLevel="0" collapsed="false">
      <c r="C12" s="7"/>
    </row>
    <row r="13" customFormat="false" ht="15" hidden="false" customHeight="false" outlineLevel="0" collapsed="false">
      <c r="A13" s="0" t="s">
        <v>237</v>
      </c>
      <c r="B13" s="42" t="n">
        <f aca="false">Assumptions!$B$13*Assumptions!$B$7/Assumptions!$B$12</f>
        <v>2519.55312</v>
      </c>
      <c r="C13" s="7" t="s">
        <v>238</v>
      </c>
    </row>
    <row r="14" customFormat="false" ht="15" hidden="false" customHeight="false" outlineLevel="0" collapsed="false">
      <c r="A14" s="0" t="s">
        <v>239</v>
      </c>
      <c r="B14" s="42" t="n">
        <f aca="false">Assumptions!$B$13*Assumptions!$B$10/Assumptions!$B$11</f>
        <v>2111.58004158004</v>
      </c>
      <c r="C14" s="7"/>
    </row>
    <row r="15" customFormat="false" ht="15" hidden="false" customHeight="false" outlineLevel="0" collapsed="false">
      <c r="A15" s="0" t="s">
        <v>240</v>
      </c>
      <c r="B15" s="42" t="n">
        <f aca="false">(Assumptions!$B$14-Assumptions!$B$15)/Assumptions!$B$11</f>
        <v>83.5928935928936</v>
      </c>
      <c r="C15" s="7" t="s">
        <v>241</v>
      </c>
    </row>
    <row r="16" customFormat="false" ht="15" hidden="false" customHeight="false" outlineLevel="0" collapsed="false">
      <c r="A16" s="0" t="s">
        <v>242</v>
      </c>
      <c r="B16" s="33" t="n">
        <f aca="false">Assumptions!$B$7/Assumptions!$B$12*Assumptions!$B$11/Assumptions!$B$10-1</f>
        <v>0.193207489361702</v>
      </c>
      <c r="C16" s="7"/>
    </row>
    <row r="17" customFormat="false" ht="15" hidden="false" customHeight="false" outlineLevel="0" collapsed="false">
      <c r="A17" s="0" t="s">
        <v>243</v>
      </c>
      <c r="B17" s="33" t="n">
        <f aca="false">Assumptions!$B$7/Assumptions!$B$9-1</f>
        <v>0.739410648429947</v>
      </c>
      <c r="C17" s="7"/>
    </row>
    <row r="18" customFormat="false" ht="15" hidden="false" customHeight="false" outlineLevel="0" collapsed="false">
      <c r="A18" s="0" t="s">
        <v>244</v>
      </c>
      <c r="B18" s="43" t="n">
        <f aca="false">1-Assumptions!$B$7/Assumptions!$B$8</f>
        <v>0.00342585184729316</v>
      </c>
      <c r="C18" s="7"/>
    </row>
    <row r="19" customFormat="false" ht="15" hidden="false" customHeight="false" outlineLevel="0" collapsed="false">
      <c r="C19" s="7"/>
    </row>
    <row r="20" customFormat="false" ht="15" hidden="false" customHeight="false" outlineLevel="0" collapsed="false">
      <c r="A20" s="0" t="s">
        <v>245</v>
      </c>
      <c r="B20" s="44" t="n">
        <f aca="false">Financials!D14</f>
        <v>28.9070488458592</v>
      </c>
      <c r="C20" s="7"/>
    </row>
    <row r="21" customFormat="false" ht="15" hidden="false" customHeight="false" outlineLevel="0" collapsed="false">
      <c r="A21" s="0" t="s">
        <v>246</v>
      </c>
      <c r="B21" s="44" t="n">
        <f aca="false">Financials!E14</f>
        <v>23.9906851641884</v>
      </c>
      <c r="C21" s="7"/>
    </row>
    <row r="22" customFormat="false" ht="15" hidden="false" customHeight="false" outlineLevel="0" collapsed="false">
      <c r="A22" s="0" t="s">
        <v>247</v>
      </c>
      <c r="B22" s="44" t="n">
        <f aca="false">Assumptions!$B$7/Assumptions!$B$17</f>
        <v>22.7754336615096</v>
      </c>
      <c r="C22" s="7" t="s">
        <v>248</v>
      </c>
    </row>
    <row r="23" customFormat="false" ht="15" hidden="false" customHeight="false" outlineLevel="0" collapsed="false">
      <c r="A23" s="0" t="s">
        <v>249</v>
      </c>
      <c r="B23" s="44" t="n">
        <f aca="false">Financials!F14</f>
        <v>20.8568931512158</v>
      </c>
      <c r="C23" s="7"/>
    </row>
    <row r="24" customFormat="false" ht="15" hidden="false" customHeight="false" outlineLevel="0" collapsed="false">
      <c r="A24" s="0" t="s">
        <v>250</v>
      </c>
      <c r="B24" s="33" t="n">
        <f aca="false">Financials!E12/Assumptions!$B$17-1</f>
        <v>-0.0506551394577429</v>
      </c>
      <c r="C24" s="7"/>
    </row>
    <row r="25" customFormat="false" ht="15" hidden="false" customHeight="false" outlineLevel="0" collapsed="false">
      <c r="C25" s="7"/>
    </row>
    <row r="26" customFormat="false" ht="15" hidden="false" customHeight="false" outlineLevel="0" collapsed="false">
      <c r="A26" s="0" t="s">
        <v>251</v>
      </c>
      <c r="B26" s="35" t="n">
        <f aca="false">Assumptions!$B$7/Assumptions!$B$47</f>
        <v>24.29</v>
      </c>
      <c r="C26" s="7" t="s">
        <v>252</v>
      </c>
    </row>
    <row r="27" customFormat="false" ht="15" hidden="false" customHeight="false" outlineLevel="0" collapsed="false">
      <c r="A27" s="0" t="s">
        <v>253</v>
      </c>
      <c r="B27" s="33" t="n">
        <f aca="false">B26/(Financials!F5*(1-Assumptions!$B$38)*(Assumptions!$B$12/Assumptions!$B$13))-Assumptions!$B$37</f>
        <v>0.579849901385258</v>
      </c>
      <c r="C27" s="7" t="s">
        <v>254</v>
      </c>
    </row>
    <row r="28" customFormat="false" ht="15" hidden="false" customHeight="false" outlineLevel="0" collapsed="false">
      <c r="A28" s="0" t="s">
        <v>255</v>
      </c>
      <c r="B28" s="42" t="n">
        <f aca="false">B26/((Assumptions!$B$46+Assumptions!$B$37)*(1-Assumptions!$B$38)*(Assumptions!$B$12/Assumptions!$B$13))</f>
        <v>261.690186954715</v>
      </c>
      <c r="C28" s="7" t="s">
        <v>256</v>
      </c>
    </row>
    <row r="29" customFormat="false" ht="15" hidden="false" customHeight="false" outlineLevel="0" collapsed="false">
      <c r="A29" s="0" t="s">
        <v>257</v>
      </c>
      <c r="B29" s="42" t="n">
        <f aca="false">Assumptions!$B$21*(1+Assumptions!$B$32)^5</f>
        <v>274.90234375</v>
      </c>
      <c r="C29" s="7" t="s">
        <v>97</v>
      </c>
    </row>
    <row r="30" customFormat="false" ht="15" hidden="false" customHeight="false" outlineLevel="0" collapsed="false">
      <c r="A30" s="0" t="s">
        <v>258</v>
      </c>
      <c r="B30" s="33" t="n">
        <f aca="false">(B29/Financials!D5)^(1/3)-1</f>
        <v>0.170320392951919</v>
      </c>
      <c r="C30" s="7" t="s">
        <v>259</v>
      </c>
    </row>
    <row r="31" customFormat="false" ht="15" hidden="false" customHeight="false" outlineLevel="0" collapsed="false">
      <c r="A31" s="0" t="s">
        <v>260</v>
      </c>
      <c r="B31" s="35" t="n">
        <f aca="false">B7/1.165</f>
        <v>399.863685479157</v>
      </c>
      <c r="C31" s="7" t="s">
        <v>261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2" min="1" style="0" width="12"/>
  </cols>
  <sheetData>
    <row r="1" customFormat="false" ht="15" hidden="false" customHeight="false" outlineLevel="0" collapsed="false">
      <c r="A1" s="1" t="s">
        <v>262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263</v>
      </c>
      <c r="B4" s="4" t="s">
        <v>264</v>
      </c>
      <c r="C4" s="4" t="s">
        <v>265</v>
      </c>
      <c r="D4" s="4" t="s">
        <v>266</v>
      </c>
      <c r="E4" s="4" t="s">
        <v>267</v>
      </c>
      <c r="F4" s="4" t="s">
        <v>268</v>
      </c>
      <c r="G4" s="4" t="s">
        <v>269</v>
      </c>
      <c r="H4" s="4" t="s">
        <v>270</v>
      </c>
      <c r="I4" s="4" t="s">
        <v>271</v>
      </c>
      <c r="J4" s="4" t="s">
        <v>272</v>
      </c>
      <c r="K4" s="4" t="s">
        <v>273</v>
      </c>
    </row>
    <row r="5" customFormat="false" ht="15" hidden="false" customHeight="false" outlineLevel="0" collapsed="false">
      <c r="A5" s="5" t="s">
        <v>274</v>
      </c>
      <c r="B5" s="17" t="n">
        <v>0.15</v>
      </c>
      <c r="C5" s="17" t="n">
        <v>0.05</v>
      </c>
      <c r="D5" s="17" t="n">
        <v>0.55</v>
      </c>
      <c r="E5" s="17" t="n">
        <v>0.5</v>
      </c>
      <c r="F5" s="36" t="n">
        <f aca="false">Financials!$D$5*(1+B5)</f>
        <v>197.225</v>
      </c>
      <c r="G5" s="36" t="n">
        <f aca="false">F5*(1+C5)</f>
        <v>207.08625</v>
      </c>
      <c r="H5" s="35" t="n">
        <f aca="false">G5*(E5+Assumptions!$B$37)*(1-Assumptions!$B$38)*(Assumptions!$B$12/Assumptions!$B$13)</f>
        <v>17.3989344125983</v>
      </c>
      <c r="I5" s="19" t="n">
        <v>16</v>
      </c>
      <c r="J5" s="35" t="n">
        <f aca="false">H5*I5</f>
        <v>278.382950601573</v>
      </c>
      <c r="K5" s="45" t="n">
        <f aca="false">J5/Assumptions!$B$7-1</f>
        <v>-0.426959755863373</v>
      </c>
    </row>
    <row r="6" customFormat="false" ht="15" hidden="false" customHeight="false" outlineLevel="0" collapsed="false">
      <c r="A6" s="5" t="s">
        <v>275</v>
      </c>
      <c r="B6" s="46" t="n">
        <f aca="false">Assumptions!$B$43</f>
        <v>0.24</v>
      </c>
      <c r="C6" s="46" t="n">
        <f aca="false">Assumptions!$B$44</f>
        <v>0.18</v>
      </c>
      <c r="D6" s="46" t="n">
        <f aca="false">Assumptions!$B$45</f>
        <v>0.57</v>
      </c>
      <c r="E6" s="46" t="n">
        <f aca="false">Assumptions!$B$46</f>
        <v>0.555</v>
      </c>
      <c r="F6" s="36" t="n">
        <f aca="false">Financials!$D$5*(1+B6)</f>
        <v>212.66</v>
      </c>
      <c r="G6" s="36" t="n">
        <f aca="false">F6*(1+C6)</f>
        <v>250.9388</v>
      </c>
      <c r="H6" s="35" t="n">
        <f aca="false">G6*(E6+Assumptions!$B$37)*(1-Assumptions!$B$38)*(Assumptions!$B$12/Assumptions!$B$13)</f>
        <v>23.2920596791609</v>
      </c>
      <c r="I6" s="47" t="n">
        <f aca="false">Assumptions!$B$47</f>
        <v>20</v>
      </c>
      <c r="J6" s="35" t="n">
        <f aca="false">H6*I6</f>
        <v>465.841193583218</v>
      </c>
      <c r="K6" s="45" t="n">
        <f aca="false">J6/Assumptions!$B$7-1</f>
        <v>-0.0410844100798319</v>
      </c>
    </row>
    <row r="7" customFormat="false" ht="15" hidden="false" customHeight="false" outlineLevel="0" collapsed="false">
      <c r="A7" s="5" t="s">
        <v>276</v>
      </c>
      <c r="B7" s="17" t="n">
        <v>0.3</v>
      </c>
      <c r="C7" s="17" t="n">
        <v>0.25</v>
      </c>
      <c r="D7" s="17" t="n">
        <v>0.59</v>
      </c>
      <c r="E7" s="17" t="n">
        <v>0.59</v>
      </c>
      <c r="F7" s="36" t="n">
        <f aca="false">Financials!$D$5*(1+B7)</f>
        <v>222.95</v>
      </c>
      <c r="G7" s="36" t="n">
        <f aca="false">F7*(1+C7)</f>
        <v>278.6875</v>
      </c>
      <c r="H7" s="35" t="n">
        <f aca="false">G7*(E7+Assumptions!$B$37)*(1-Assumptions!$B$38)*(Assumptions!$B$12/Assumptions!$B$13)</f>
        <v>27.4286661990976</v>
      </c>
      <c r="I7" s="19" t="n">
        <v>24</v>
      </c>
      <c r="J7" s="35" t="n">
        <f aca="false">H7*I7</f>
        <v>658.287988778343</v>
      </c>
      <c r="K7" s="45" t="n">
        <f aca="false">J7/Assumptions!$B$7-1</f>
        <v>0.355059672248545</v>
      </c>
    </row>
    <row r="8" customFormat="false" ht="15" hidden="false" customHeight="false" outlineLevel="0" collapsed="false">
      <c r="B8" s="5" t="s">
        <v>274</v>
      </c>
      <c r="C8" s="5" t="s">
        <v>275</v>
      </c>
      <c r="D8" s="5" t="s">
        <v>276</v>
      </c>
    </row>
    <row r="9" customFormat="false" ht="15" hidden="false" customHeight="false" outlineLevel="0" collapsed="false">
      <c r="A9" s="5" t="s">
        <v>277</v>
      </c>
      <c r="B9" s="48" t="n">
        <v>0.25</v>
      </c>
      <c r="C9" s="48" t="n">
        <v>0.5</v>
      </c>
      <c r="D9" s="48" t="n">
        <v>0.25</v>
      </c>
      <c r="E9" s="45" t="n">
        <f aca="false">SUM(B9:D9)</f>
        <v>1</v>
      </c>
      <c r="F9" s="12" t="s">
        <v>278</v>
      </c>
    </row>
    <row r="11" customFormat="false" ht="15" hidden="false" customHeight="false" outlineLevel="0" collapsed="false">
      <c r="A11" s="5" t="s">
        <v>15</v>
      </c>
      <c r="F11" s="40" t="n">
        <f aca="false">B9*J5+C9*J6+D9*J7</f>
        <v>467.088331636588</v>
      </c>
      <c r="G11" s="33" t="n">
        <f aca="false">F11/Assumptions!$B$7-1</f>
        <v>-0.0385172259436229</v>
      </c>
    </row>
    <row r="14" customFormat="false" ht="15" hidden="false" customHeight="false" outlineLevel="0" collapsed="false">
      <c r="A14" s="12" t="s">
        <v>279</v>
      </c>
    </row>
    <row r="15" customFormat="false" ht="15" hidden="false" customHeight="false" outlineLevel="0" collapsed="false">
      <c r="A15" s="12" t="s">
        <v>280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281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282</v>
      </c>
      <c r="B4" s="49" t="n">
        <v>16</v>
      </c>
      <c r="C4" s="49" t="n">
        <f aca="false">Assumptions!$B$47</f>
        <v>20</v>
      </c>
      <c r="D4" s="49" t="n">
        <v>24</v>
      </c>
    </row>
    <row r="5" customFormat="false" ht="15" hidden="false" customHeight="false" outlineLevel="0" collapsed="false">
      <c r="A5" s="50" t="n">
        <v>20</v>
      </c>
      <c r="B5" s="51" t="n">
        <f aca="false">$A5*B$4</f>
        <v>320</v>
      </c>
      <c r="C5" s="51" t="n">
        <f aca="false">$A5*C$4</f>
        <v>400</v>
      </c>
      <c r="D5" s="51" t="n">
        <f aca="false">$A5*D$4</f>
        <v>480</v>
      </c>
    </row>
    <row r="6" customFormat="false" ht="15" hidden="false" customHeight="false" outlineLevel="0" collapsed="false">
      <c r="A6" s="52" t="n">
        <f aca="false">Financials!F12</f>
        <v>23.2920596791609</v>
      </c>
      <c r="B6" s="51" t="n">
        <f aca="false">$A6*B$4</f>
        <v>372.672954866574</v>
      </c>
      <c r="C6" s="53" t="n">
        <f aca="false">$A6*C$4</f>
        <v>465.841193583218</v>
      </c>
      <c r="D6" s="51" t="n">
        <f aca="false">$A6*D$4</f>
        <v>559.009432299861</v>
      </c>
    </row>
    <row r="7" customFormat="false" ht="15" hidden="false" customHeight="false" outlineLevel="0" collapsed="false">
      <c r="A7" s="50" t="n">
        <v>26</v>
      </c>
      <c r="B7" s="51" t="n">
        <f aca="false">$A7*B$4</f>
        <v>416</v>
      </c>
      <c r="C7" s="51" t="n">
        <f aca="false">$A7*C$4</f>
        <v>520</v>
      </c>
      <c r="D7" s="51" t="n">
        <f aca="false">$A7*D$4</f>
        <v>624</v>
      </c>
    </row>
    <row r="9" customFormat="false" ht="15" hidden="false" customHeight="false" outlineLevel="0" collapsed="false">
      <c r="A9" s="5" t="s">
        <v>283</v>
      </c>
      <c r="B9" s="0" t="n">
        <f aca="false">COUNTIF(B5:D7,"&gt;"&amp;Assumptions!$B$7)</f>
        <v>3</v>
      </c>
      <c r="C9" s="0" t="s">
        <v>284</v>
      </c>
    </row>
    <row r="11" customFormat="false" ht="15" hidden="false" customHeight="false" outlineLevel="0" collapsed="false">
      <c r="A11" s="12" t="s">
        <v>285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1" t="s">
        <v>286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287</v>
      </c>
      <c r="B4" s="4" t="s">
        <v>288</v>
      </c>
      <c r="C4" s="4" t="s">
        <v>289</v>
      </c>
      <c r="D4" s="4" t="s">
        <v>290</v>
      </c>
    </row>
    <row r="5" customFormat="false" ht="15" hidden="false" customHeight="false" outlineLevel="0" collapsed="false">
      <c r="A5" s="5" t="s">
        <v>291</v>
      </c>
      <c r="B5" s="0" t="s">
        <v>292</v>
      </c>
      <c r="C5" s="54" t="n">
        <f aca="false">Assumptions!$B$18</f>
        <v>20.73</v>
      </c>
      <c r="D5" s="7" t="s">
        <v>293</v>
      </c>
    </row>
    <row r="6" customFormat="false" ht="15" hidden="false" customHeight="false" outlineLevel="0" collapsed="false">
      <c r="A6" s="22" t="s">
        <v>294</v>
      </c>
      <c r="B6" s="0" t="s">
        <v>295</v>
      </c>
      <c r="C6" s="55" t="n">
        <v>22.42</v>
      </c>
      <c r="D6" s="7" t="s">
        <v>296</v>
      </c>
    </row>
    <row r="7" customFormat="false" ht="15" hidden="false" customHeight="false" outlineLevel="0" collapsed="false">
      <c r="A7" s="22" t="s">
        <v>297</v>
      </c>
      <c r="B7" s="0" t="s">
        <v>298</v>
      </c>
      <c r="C7" s="55" t="n">
        <v>23.97</v>
      </c>
      <c r="D7" s="7" t="s">
        <v>299</v>
      </c>
    </row>
    <row r="8" customFormat="false" ht="15" hidden="false" customHeight="false" outlineLevel="0" collapsed="false">
      <c r="A8" s="22" t="s">
        <v>300</v>
      </c>
      <c r="B8" s="0" t="s">
        <v>301</v>
      </c>
      <c r="C8" s="55" t="n">
        <v>68.82</v>
      </c>
      <c r="D8" s="7" t="s">
        <v>302</v>
      </c>
    </row>
    <row r="9" customFormat="false" ht="15" hidden="false" customHeight="false" outlineLevel="0" collapsed="false">
      <c r="A9" s="22" t="s">
        <v>303</v>
      </c>
      <c r="B9" s="0" t="s">
        <v>304</v>
      </c>
      <c r="C9" s="55" t="n">
        <v>31.41</v>
      </c>
      <c r="D9" s="7" t="s">
        <v>305</v>
      </c>
    </row>
    <row r="10" customFormat="false" ht="15" hidden="false" customHeight="false" outlineLevel="0" collapsed="false">
      <c r="A10" s="22" t="s">
        <v>306</v>
      </c>
      <c r="B10" s="0" t="s">
        <v>307</v>
      </c>
      <c r="C10" s="55" t="n">
        <v>4.46</v>
      </c>
      <c r="D10" s="7" t="s">
        <v>308</v>
      </c>
    </row>
    <row r="11" customFormat="false" ht="15" hidden="false" customHeight="false" outlineLevel="0" collapsed="false">
      <c r="A11" s="22" t="s">
        <v>309</v>
      </c>
      <c r="B11" s="0" t="s">
        <v>310</v>
      </c>
      <c r="C11" s="55" t="n">
        <v>19.75</v>
      </c>
      <c r="D11" s="7" t="s">
        <v>311</v>
      </c>
    </row>
    <row r="13" customFormat="false" ht="15" hidden="false" customHeight="false" outlineLevel="0" collapsed="false">
      <c r="A13" s="0" t="s">
        <v>312</v>
      </c>
      <c r="C13" s="44" t="n">
        <f aca="false">MEDIAN(C6,C7,C9)</f>
        <v>23.97</v>
      </c>
    </row>
    <row r="15" customFormat="false" ht="15" hidden="false" customHeight="false" outlineLevel="0" collapsed="false">
      <c r="A15" s="12" t="s">
        <v>313</v>
      </c>
    </row>
    <row r="16" customFormat="false" ht="15" hidden="false" customHeight="false" outlineLevel="0" collapsed="false">
      <c r="A16" s="12" t="s">
        <v>314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0"/>
  </cols>
  <sheetData>
    <row r="1" customFormat="false" ht="15" hidden="false" customHeight="false" outlineLevel="0" collapsed="false">
      <c r="A1" s="1" t="s">
        <v>315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316</v>
      </c>
      <c r="B4" s="4" t="s">
        <v>317</v>
      </c>
    </row>
    <row r="5" customFormat="false" ht="23.85" hidden="false" customHeight="false" outlineLevel="0" collapsed="false">
      <c r="A5" s="0" t="n">
        <v>1</v>
      </c>
      <c r="B5" s="7" t="s">
        <v>318</v>
      </c>
    </row>
    <row r="6" customFormat="false" ht="23.85" hidden="false" customHeight="false" outlineLevel="0" collapsed="false">
      <c r="A6" s="0" t="n">
        <v>2</v>
      </c>
      <c r="B6" s="7" t="s">
        <v>319</v>
      </c>
    </row>
    <row r="7" customFormat="false" ht="15" hidden="false" customHeight="false" outlineLevel="0" collapsed="false">
      <c r="A7" s="0" t="n">
        <v>3</v>
      </c>
      <c r="B7" s="7" t="s">
        <v>320</v>
      </c>
    </row>
    <row r="8" customFormat="false" ht="23.85" hidden="false" customHeight="false" outlineLevel="0" collapsed="false">
      <c r="A8" s="0" t="n">
        <v>4</v>
      </c>
      <c r="B8" s="7" t="s">
        <v>321</v>
      </c>
    </row>
    <row r="9" customFormat="false" ht="15" hidden="false" customHeight="false" outlineLevel="0" collapsed="false">
      <c r="A9" s="0" t="n">
        <v>5</v>
      </c>
      <c r="B9" s="7" t="s">
        <v>322</v>
      </c>
    </row>
    <row r="10" customFormat="false" ht="15" hidden="false" customHeight="false" outlineLevel="0" collapsed="false">
      <c r="A10" s="0" t="n">
        <v>6</v>
      </c>
      <c r="B10" s="7" t="s">
        <v>323</v>
      </c>
    </row>
    <row r="11" customFormat="false" ht="15" hidden="false" customHeight="false" outlineLevel="0" collapsed="false">
      <c r="A11" s="0" t="n">
        <v>7</v>
      </c>
      <c r="B11" s="7" t="s">
        <v>324</v>
      </c>
    </row>
    <row r="12" customFormat="false" ht="23.85" hidden="false" customHeight="false" outlineLevel="0" collapsed="false">
      <c r="A12" s="0" t="n">
        <v>8</v>
      </c>
      <c r="B12" s="7" t="s">
        <v>325</v>
      </c>
    </row>
    <row r="13" customFormat="false" ht="23.85" hidden="false" customHeight="false" outlineLevel="0" collapsed="false">
      <c r="A13" s="0" t="n">
        <v>9</v>
      </c>
      <c r="B13" s="7" t="s">
        <v>326</v>
      </c>
    </row>
    <row r="14" customFormat="false" ht="15" hidden="false" customHeight="false" outlineLevel="0" collapsed="false">
      <c r="A14" s="0" t="n">
        <v>10</v>
      </c>
      <c r="B14" s="7" t="s">
        <v>327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2026-10-06T13:47:15Z</dcterms:created>
  <dc:creator>openpyxl</dc:creator>
  <dc:description/>
  <dc:language>en-GB</dc:language>
  <cp:lastModifiedBy/>
  <dcterms:modified xsi:type="dcterms:W3CDTF">2026-10-06T13:47:15Z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