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Cash" sheetId="3" state="visible" r:id="rId5"/>
    <sheet name="History" sheetId="4" state="visible" r:id="rId6"/>
    <sheet name="Fleet" sheetId="5" state="visible" r:id="rId7"/>
    <sheet name="Scenarios" sheetId="6" state="visible" r:id="rId8"/>
    <sheet name="Sensitivity" sheetId="7" state="visible" r:id="rId9"/>
    <sheet name="Valuation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<sst xmlns="http://schemas.openxmlformats.org/spreadsheetml/2006/main" count="362" uniqueCount="306">
  <si>
    <t xml:space="preserve">OKLO (NYSE: OKLO)  INITIATION MODEL</t>
  </si>
  <si>
    <t xml:space="preserve">Tommy Lau | Oklo (NYSE: OKLO) | 6 October 2026 | US$ million unless stated | Personal research, not investment advice.</t>
  </si>
  <si>
    <t xml:space="preserve">Company</t>
  </si>
  <si>
    <t xml:space="preserve">Oklo Inc. (NYSE: OKLO)</t>
  </si>
  <si>
    <t xml:space="preserve">Designs Aurora fast reactors it intends to own, and sells the power.</t>
  </si>
  <si>
    <t xml:space="preserve">Date</t>
  </si>
  <si>
    <t xml:space="preserve">6 October 2026</t>
  </si>
  <si>
    <t xml:space="preserve">Price</t>
  </si>
  <si>
    <t xml:space="preserve">NYSE close, 5 October 2026.</t>
  </si>
  <si>
    <t xml:space="preserve">Base value, Oct 2027</t>
  </si>
  <si>
    <t xml:space="preserve">Risked fleet plus cash, less corporate spending, per diluted share.</t>
  </si>
  <si>
    <t xml:space="preserve">Probability-weighted value</t>
  </si>
  <si>
    <t xml:space="preserve">25 / 50 / 25.</t>
  </si>
  <si>
    <t xml:space="preserve">Call</t>
  </si>
  <si>
    <t xml:space="preserve">SHORT</t>
  </si>
  <si>
    <t xml:space="preserve">Tommy Lau's call, published 7 Oct 2026.</t>
  </si>
  <si>
    <t xml:space="preserve">Target, US$</t>
  </si>
  <si>
    <t xml:space="preserve">Probability-weighted value, rounded.</t>
  </si>
  <si>
    <t xml:space="preserve">Conviction</t>
  </si>
  <si>
    <t xml:space="preserve">Low</t>
  </si>
  <si>
    <t xml:space="preserve">Tabs</t>
  </si>
  <si>
    <t xml:space="preserve">Assumptions</t>
  </si>
  <si>
    <t xml:space="preserve">Every input, with its source. Change the yellow cells to move the value.</t>
  </si>
  <si>
    <t xml:space="preserve">Cash</t>
  </si>
  <si>
    <t xml:space="preserve">Shares sold, fully diluted count, cash raised against cash kept, my cash path to Sep 2027.</t>
  </si>
  <si>
    <t xml:space="preserve">History</t>
  </si>
  <si>
    <t xml:space="preserve">Quarterly and annual reported figures, the 2026 guide and my spending estimates.</t>
  </si>
  <si>
    <t xml:space="preserve">Fleet</t>
  </si>
  <si>
    <t xml:space="preserve">When units come online, discount factors, corporate spending.</t>
  </si>
  <si>
    <t xml:space="preserve">Scenarios</t>
  </si>
  <si>
    <t xml:space="preserve">Bear / base / bull and the probability-weighted value.</t>
  </si>
  <si>
    <t xml:space="preserve">Sensitivity</t>
  </si>
  <si>
    <t xml:space="preserve">Power price against cost per kW.</t>
  </si>
  <si>
    <t xml:space="preserve">Valuation</t>
  </si>
  <si>
    <t xml:space="preserve">Plant economics, what the price needs, revisit levels.</t>
  </si>
  <si>
    <t xml:space="preserve">Peers</t>
  </si>
  <si>
    <t xml:space="preserve">Enterprise value per announced gigawatt.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</si>
  <si>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</si>
  <si>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</si>
  <si>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</si>
  <si>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2026-10-06_Oklo_Initiation.pdf. Personal research, not investment advice.</t>
  </si>
  <si>
    <t xml:space="preserve">INPUTS AND ASSUMPTIONS</t>
  </si>
  <si>
    <t xml:space="preserve">Blue = hardcoded input. Yellow fill = my own assumption (change these to move the value). Green = link to another tab. Black = formula. US$ million unless stated; per-share figures in US$.</t>
  </si>
  <si>
    <t xml:space="preserve">Input</t>
  </si>
  <si>
    <t xml:space="preserve">Value</t>
  </si>
  <si>
    <t xml:space="preserve">Unit</t>
  </si>
  <si>
    <t xml:space="preserve">Source / note</t>
  </si>
  <si>
    <t xml:space="preserve">MARKET (retrieved 6 October 2026)</t>
  </si>
  <si>
    <t xml:space="preserve">Share price (NYSE: OKLO)</t>
  </si>
  <si>
    <t xml:space="preserve">US$</t>
  </si>
  <si>
    <t xml:space="preserve">NYSE close, 5 October 2026. Yahoo Finance.</t>
  </si>
  <si>
    <t xml:space="preserve">52-week high (intraday, 15 October 2025)</t>
  </si>
  <si>
    <t xml:space="preserve">Yahoo Finance.</t>
  </si>
  <si>
    <t xml:space="preserve">Highest close (14 October 2025)</t>
  </si>
  <si>
    <t xml:space="preserve">52-week low (intraday, 14 September 2026)</t>
  </si>
  <si>
    <t xml:space="preserve">Average analyst target</t>
  </si>
  <si>
    <t xml:space="preserve">stockanalysis.com, 25 analysts; median US$74.50, range US$14 to 130.</t>
  </si>
  <si>
    <t xml:space="preserve">2026 consensus EPS</t>
  </si>
  <si>
    <t xml:space="preserve">stockanalysis.com.</t>
  </si>
  <si>
    <t xml:space="preserve">SHARES (10-Q Q2 2026; 8-K and 424B5 of 11 Sep 2026)</t>
  </si>
  <si>
    <t xml:space="preserve">Shares outstanding, 30 Jun 2026, m</t>
  </si>
  <si>
    <t xml:space="preserve">m</t>
  </si>
  <si>
    <t xml:space="preserve">10-Q balance sheet: 185,090,155.</t>
  </si>
  <si>
    <t xml:space="preserve">Shares sold under the May 2026 ATM to 10 Sep 2026, m</t>
  </si>
  <si>
    <t xml:space="preserve">8-K of 11 Sep 2026: 17,971,448 shares for about US$1bn gross.</t>
  </si>
  <si>
    <t xml:space="preserve">Gross proceeds of the May 2026 ATM</t>
  </si>
  <si>
    <t xml:space="preserve">US$m</t>
  </si>
  <si>
    <t xml:space="preserve">8-K: approximately US$1,000m.</t>
  </si>
  <si>
    <t xml:space="preserve">Of which sold by 30 Jun 2026, m</t>
  </si>
  <si>
    <t xml:space="preserve">10-Q Note 8: 10,712,054.</t>
  </si>
  <si>
    <t xml:space="preserve">Of which gross proceeds by 30 Jun 2026</t>
  </si>
  <si>
    <t xml:space="preserve">10-Q Note 8: 680.4.</t>
  </si>
  <si>
    <t xml:space="preserve">ATM commission</t>
  </si>
  <si>
    <t xml:space="preserve">%</t>
  </si>
  <si>
    <t xml:space="preserve">Up to 1.5% (10-Q, 424B5).</t>
  </si>
  <si>
    <t xml:space="preserve">Stock options outstanding, 30 Jun 2026, m</t>
  </si>
  <si>
    <t xml:space="preserve">424B5: 5,738,353 at a weighted exercise price of US$2.07.</t>
  </si>
  <si>
    <t xml:space="preserve">Restricted stock units outstanding, 30 Jun 2026, m</t>
  </si>
  <si>
    <t xml:space="preserve">424B5: 3,677,081.</t>
  </si>
  <si>
    <t xml:space="preserve">CASH (10-Q Q2 2026, 10-K 2025)</t>
  </si>
  <si>
    <t xml:space="preserve">Cash, equivalents and marketable securities, 30 Jun 2026</t>
  </si>
  <si>
    <t xml:space="preserve">10-Q: 1,644.7 + 820.5 + 541.1 = 3,006.3. Excludes 16.9 restricted.</t>
  </si>
  <si>
    <t xml:space="preserve">Same, 31 Dec 2025</t>
  </si>
  <si>
    <t xml:space="preserve">10-K: 788.4 + 439.5 + 184.6.</t>
  </si>
  <si>
    <t xml:space="preserve">Net proceeds from share sales, H1 2026</t>
  </si>
  <si>
    <t xml:space="preserve">10-Q cash flow statement: 1,851.9.</t>
  </si>
  <si>
    <t xml:space="preserve">Operating cash use, H1 2026</t>
  </si>
  <si>
    <t xml:space="preserve">10-Q: 65.5.</t>
  </si>
  <si>
    <t xml:space="preserve">Capital spending, H1 2026</t>
  </si>
  <si>
    <t xml:space="preserve">10-Q: 126.9.</t>
  </si>
  <si>
    <t xml:space="preserve">2026 operating cash use guide, low</t>
  </si>
  <si>
    <t xml:space="preserve">Q2 business update, 7 Aug 2026 (prior 80 to 100).</t>
  </si>
  <si>
    <t xml:space="preserve">2026 operating cash use guide, high</t>
  </si>
  <si>
    <t xml:space="preserve">Same.</t>
  </si>
  <si>
    <t xml:space="preserve">2026 capital spending guide, low</t>
  </si>
  <si>
    <t xml:space="preserve">Same (prior 350 to 450).</t>
  </si>
  <si>
    <t xml:space="preserve">2026 capital spending guide, high</t>
  </si>
  <si>
    <t xml:space="preserve">MY ASSUMPTIONS: CASH</t>
  </si>
  <si>
    <t xml:space="preserve">Operating cash use, 2026</t>
  </si>
  <si>
    <t xml:space="preserve">MINE. Inside the guide.</t>
  </si>
  <si>
    <t xml:space="preserve">Capital spending, 2026</t>
  </si>
  <si>
    <t xml:space="preserve">MINE. Midpoint of the guide.</t>
  </si>
  <si>
    <t xml:space="preserve">Operating cash use, 2027</t>
  </si>
  <si>
    <t xml:space="preserve">MINE.</t>
  </si>
  <si>
    <t xml:space="preserve">Capital spending, 2027</t>
  </si>
  <si>
    <t xml:space="preserve">MINE. Aurora-INL construction, fuel fabrication, Ohio site work.</t>
  </si>
  <si>
    <t xml:space="preserve">MY ASSUMPTIONS: THE PLANT</t>
  </si>
  <si>
    <t xml:space="preserve">Aurora unit size, MWe</t>
  </si>
  <si>
    <t xml:space="preserve">MW</t>
  </si>
  <si>
    <t xml:space="preserve">MINE. Oklo's 75 MWe design (10-Q).</t>
  </si>
  <si>
    <t xml:space="preserve">Capacity factor</t>
  </si>
  <si>
    <t xml:space="preserve">Operating cost, fuel, insurance and decommissioning, US$/MWh</t>
  </si>
  <si>
    <t xml:space="preserve">MINE. Oklo expects 70 to 80 long-term staff for the INL plant and fuel facility (22 Sep 2025).</t>
  </si>
  <si>
    <t xml:space="preserve">Escalation of price and cost, a year</t>
  </si>
  <si>
    <t xml:space="preserve">Plant life, years</t>
  </si>
  <si>
    <t xml:space="preserve">yrs</t>
  </si>
  <si>
    <t xml:space="preserve">MINE. Matches decades-long PPAs.</t>
  </si>
  <si>
    <t xml:space="preserve">Discount rate, operating contracted plant</t>
  </si>
  <si>
    <t xml:space="preserve">Discount rate, from first power back to October 2027</t>
  </si>
  <si>
    <t xml:space="preserve">MINE. Development and funding risk; the first-plant probability is separate.</t>
  </si>
  <si>
    <t xml:space="preserve">Aurora-INL capital still to spend after Sep 2027</t>
  </si>
  <si>
    <t xml:space="preserve">MINE. Oklo has not disclosed the total; the CFO said in August it is still narrowing it with Kiewit.</t>
  </si>
  <si>
    <t xml:space="preserve">Aurora-INL first power (year, mid-year = .5)</t>
  </si>
  <si>
    <t xml:space="preserve">year</t>
  </si>
  <si>
    <t xml:space="preserve">MINE. Oklo targets 2028 (Q2 2026 update).</t>
  </si>
  <si>
    <t xml:space="preserve">SHARES AND CASH: WHAT IS IN THE BANK AND WHO PAID FOR IT</t>
  </si>
  <si>
    <t xml:space="preserve">Line</t>
  </si>
  <si>
    <t xml:space="preserve">Working / note</t>
  </si>
  <si>
    <t xml:space="preserve">Shares sold 1 Jul to 10 Sep 2026, m</t>
  </si>
  <si>
    <t xml:space="preserve">May 2026 ATM total less the part sold by 30 June.</t>
  </si>
  <si>
    <t xml:space="preserve">Gross proceeds 1 Jul to 10 Sep 2026</t>
  </si>
  <si>
    <t xml:space="preserve">Approximate: the 8-K gives about US$1bn.</t>
  </si>
  <si>
    <t xml:space="preserve">Average sale price, 1 Jul to 10 Sep 2026, US$</t>
  </si>
  <si>
    <t xml:space="preserve">Q1 2026 US$96.95; Q2 2026 US$63.51 (10-Q).</t>
  </si>
  <si>
    <t xml:space="preserve">Net proceeds after commission</t>
  </si>
  <si>
    <t xml:space="preserve">Shares outstanding by 10 Sep 2026, at least, m</t>
  </si>
  <si>
    <t xml:space="preserve">Excludes awards vested since June and any sales under the September ATM.</t>
  </si>
  <si>
    <t xml:space="preserve">Fully diluted shares, m</t>
  </si>
  <si>
    <t xml:space="preserve">Options at US$2.07 counted in full; the strike proceeds are trivial.</t>
  </si>
  <si>
    <t xml:space="preserve">Rise in cash and securities, H1 2026</t>
  </si>
  <si>
    <t xml:space="preserve">Where the September piece wrote about US$1.9bn.</t>
  </si>
  <si>
    <t xml:space="preserve">Raised from share sales, H1 2026 (net)</t>
  </si>
  <si>
    <t xml:space="preserve">Spent and invested, H1 2026</t>
  </si>
  <si>
    <t xml:space="preserve">Operating cash, capital spending, acquisitions, other investments.</t>
  </si>
  <si>
    <t xml:space="preserve">2026 spending, mine (operating cash use plus capital spending)</t>
  </si>
  <si>
    <t xml:space="preserve">Guide 520 to 650.</t>
  </si>
  <si>
    <t xml:space="preserve">H2 2026 spending, mine</t>
  </si>
  <si>
    <t xml:space="preserve">Q3 2026 spending, mine (half of H2)</t>
  </si>
  <si>
    <t xml:space="preserve">Cash and securities, 30 Sep 2026, mine</t>
  </si>
  <si>
    <t xml:space="preserve">Before any sales under the September ATM.</t>
  </si>
  <si>
    <t xml:space="preserve">Cash and securities, end 2026, mine</t>
  </si>
  <si>
    <t xml:space="preserve">2027 spending, mine</t>
  </si>
  <si>
    <t xml:space="preserve">Cash and securities, end Sep 2027, mine</t>
  </si>
  <si>
    <t xml:space="preserve">Used in the valuation.</t>
  </si>
  <si>
    <t xml:space="preserve">Cash per fully diluted share, Sep 2027, US$</t>
  </si>
  <si>
    <t xml:space="preserve">Before any further spending.</t>
  </si>
  <si>
    <t xml:space="preserve">Market value at the price, US$m</t>
  </si>
  <si>
    <t xml:space="preserve">Enterprise value, US$m</t>
  </si>
  <si>
    <t xml:space="preserve">Market value less my 30 Sep 2026 cash.</t>
  </si>
  <si>
    <t xml:space="preserve">Market value against cash and securities (x)</t>
  </si>
  <si>
    <t xml:space="preserve">Share count rise since 30 Jun 2024</t>
  </si>
  <si>
    <t xml:space="preserve">122.1m at 30 Jun 2024 (10-Q).</t>
  </si>
  <si>
    <t xml:space="preserve">REPORTED HISTORY, Q2 2024 TO Q2 2026, AND ANNUAL</t>
  </si>
  <si>
    <t xml:space="preserve">US$ million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</si>
  <si>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</si>
  <si>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</si>
  <si>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</si>
  <si>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</si>
  <si>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</si>
  <si>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</si>
  <si>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</si>
  <si>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</si>
  <si>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</si>
  <si>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Cash and marketable securities, end</t>
  </si>
  <si>
    <t xml:space="preserve">Shares outstanding, end, m</t>
  </si>
  <si>
    <t xml:space="preserve">Capital spending</t>
  </si>
  <si>
    <t xml:space="preserve">Operating cash flow</t>
  </si>
  <si>
    <t xml:space="preserve">Net loss</t>
  </si>
  <si>
    <t xml:space="preserve">Operating cash use plus capital spending</t>
  </si>
  <si>
    <t xml:space="preserve">Annual</t>
  </si>
  <si>
    <t xml:space="preserve">2024A</t>
  </si>
  <si>
    <t xml:space="preserve">2025A</t>
  </si>
  <si>
    <t xml:space="preserve">H1 2026A</t>
  </si>
  <si>
    <t xml:space="preserve">2026 guide</t>
  </si>
  <si>
    <t xml:space="preserve">2026E*</t>
  </si>
  <si>
    <t xml:space="preserve">2027E*</t>
  </si>
  <si>
    <t xml:space="preserve">Revenue</t>
  </si>
  <si>
    <t xml:space="preserve">Operating loss</t>
  </si>
  <si>
    <t xml:space="preserve">Operating cash use</t>
  </si>
  <si>
    <t xml:space="preserve">120 to 150</t>
  </si>
  <si>
    <t xml:space="preserve">400 to 500</t>
  </si>
  <si>
    <t xml:space="preserve">Cash and securities, end of period</t>
  </si>
  <si>
    <t xml:space="preserve">Net proceeds from share sales</t>
  </si>
  <si>
    <t xml:space="preserve">*2026E revenue is the stockanalysis.com consensus (US$2.74m); spending estimates are mine. Q2 2024 to Q2 2026 from Oklo 10-Qs and the 10-K via SEC XBRL; quarterly flows derived from year-to-date figures.</t>
  </si>
  <si>
    <t xml:space="preserve">THE FLEET: WHEN UNITS COME ON AND WHAT EACH IS WORTH TODAY</t>
  </si>
  <si>
    <t xml:space="preserve">First power (mid-year)</t>
  </si>
  <si>
    <t xml:space="preserve">Meta MW</t>
  </si>
  <si>
    <t xml:space="preserve">Further units (1 = yes)</t>
  </si>
  <si>
    <t xml:space="preserve">Discount to Oct 2027</t>
  </si>
  <si>
    <t xml:space="preserve">Meta MW, discounted (S_meta)</t>
  </si>
  <si>
    <t xml:space="preserve">Further years, discounted (S_rate)</t>
  </si>
  <si>
    <t xml:space="preserve">Aurora-INL discount</t>
  </si>
  <si>
    <t xml:space="preserve">Present value factor, 40 years with escalation</t>
  </si>
  <si>
    <t xml:space="preserve">Further units a year: count of years</t>
  </si>
  <si>
    <t xml:space="preserve">Meta: phase one as early as 2030 and 1.2 GW by 2034 (Oklo and Meta, 9 Jan 2026); the yearly split is mine. Further units from 2033 to 2040 stand for Switch and other customers; the rate is set per scenario.</t>
  </si>
  <si>
    <t xml:space="preserve">Corporate and non-plant spending from Oct 2027</t>
  </si>
  <si>
    <t xml:space="preserve">US$m a year</t>
  </si>
  <si>
    <t xml:space="preserve">Discount</t>
  </si>
  <si>
    <t xml:space="preserve">Present value</t>
  </si>
  <si>
    <t xml:space="preserve">Present value, base and bull</t>
  </si>
  <si>
    <t xml:space="preserve">Present value, bear (wind-down: first three years at 150)</t>
  </si>
  <si>
    <t xml:space="preserve">BEAR / BASE / BULL, TWELVE MONTHS OUT</t>
  </si>
  <si>
    <t xml:space="preserve">Case</t>
  </si>
  <si>
    <t xml:space="preserve">Price US$/MWh</t>
  </si>
  <si>
    <t xml:space="preserve">Cost US$/kW</t>
  </si>
  <si>
    <t xml:space="preserve">P(first plant)</t>
  </si>
  <si>
    <t xml:space="preserve">MW a year after Meta</t>
  </si>
  <si>
    <t xml:space="preserve">Weight</t>
  </si>
  <si>
    <t xml:space="preserve">NPV per MW, US$m</t>
  </si>
  <si>
    <t xml:space="preserve">Risked fleet, US$m</t>
  </si>
  <si>
    <t xml:space="preserve">Value per share</t>
  </si>
  <si>
    <t xml:space="preserve">Change vs price</t>
  </si>
  <si>
    <t xml:space="preserve">GW by 2040</t>
  </si>
  <si>
    <t xml:space="preserve">What happens</t>
  </si>
  <si>
    <t xml:space="preserve">Bear</t>
  </si>
  <si>
    <t xml:space="preserve">Aurora-INL slips past 2029 and the cost does not close against the power price; no fleet; spending winds down</t>
  </si>
  <si>
    <t xml:space="preserve">Base</t>
  </si>
  <si>
    <t xml:space="preserve">Aurora-INL runs in 2028 with 60% probability; Meta's 1.2 GW by 2034, then 300 MW a year</t>
  </si>
  <si>
    <t xml:space="preserve">Bull</t>
  </si>
  <si>
    <t xml:space="preserve">Aurora-INL on time; costs fall fast; Switch and others contract: 900 MW a year from 2033</t>
  </si>
  <si>
    <t xml:space="preserve">Probability-weighted</t>
  </si>
  <si>
    <t xml:space="preserve">Value = (probability x risked NPV of the fleet discounted to Oct 2027 + my cash at Sep 2027 - present value of corporate spending) / fully diluted shares. A unit whose NPV is negative is not built (MAX(0, ...)); Aurora-INL is built regardless. No tax and no tax credits are modelled. The bear case keeps only cash, less a wind-down.</t>
  </si>
  <si>
    <t xml:space="preserve">VALUE PER SHARE: POWER PRICE AGAINST COST PER KW (BASE PROBABILITY AND BUILD RATE)</t>
  </si>
  <si>
    <t xml:space="preserve">Cost US$/kW \ price US$/MWh</t>
  </si>
  <si>
    <t xml:space="preserve">95</t>
  </si>
  <si>
    <t xml:space="preserve">110</t>
  </si>
  <si>
    <t xml:space="preserve">125</t>
  </si>
  <si>
    <t xml:space="preserve">Cells above the price</t>
  </si>
  <si>
    <t xml:space="preserve">Highest cell</t>
  </si>
  <si>
    <t xml:space="preserve">Lowest cell</t>
  </si>
  <si>
    <t xml:space="preserve">Where a cell's units do not pay, only Aurora-INL is built but the base corporate spending is kept, so the lowest cells sit below the bear case's wind-down value.</t>
  </si>
  <si>
    <t xml:space="preserve">VALUE, WHAT THE PRICE NEEDS, AND THE PLANT</t>
  </si>
  <si>
    <t xml:space="preserve">Note</t>
  </si>
  <si>
    <t xml:space="preserve">Base value per share, Oct 2027, US$</t>
  </si>
  <si>
    <t xml:space="preserve">Base against the price</t>
  </si>
  <si>
    <t xml:space="preserve">Probability-weighted value, US$</t>
  </si>
  <si>
    <t xml:space="preserve">Weighted against the price</t>
  </si>
  <si>
    <t xml:space="preserve">Rule on value (long if base +15% or more, short if -25% or less)</t>
  </si>
  <si>
    <t xml:space="preserve">The rule reads short. The target is the probability-weighted value, rounded, because the base rests on undisclosed cost and price.</t>
  </si>
  <si>
    <t xml:space="preserve">Margin per MW in the first year at the base price, US$m</t>
  </si>
  <si>
    <t xml:space="preserve">NPV per MW at first power, base, US$m</t>
  </si>
  <si>
    <t xml:space="preserve">Break-even cost per kW at the base price, US$</t>
  </si>
  <si>
    <t xml:space="preserve">Above this, a unit destroys value.</t>
  </si>
  <si>
    <t xml:space="preserve">Flat power price that just repays the base cost, US$/MWh</t>
  </si>
  <si>
    <t xml:space="preserve">No escalation; for comparison only.</t>
  </si>
  <si>
    <t xml:space="preserve">Risked fleet value the price needs, US$m</t>
  </si>
  <si>
    <t xml:space="preserve">Base risked fleet value, US$m</t>
  </si>
  <si>
    <t xml:space="preserve">Further MW a year the price needs, base economics</t>
  </si>
  <si>
    <t xml:space="preserve">Base: 300.</t>
  </si>
  <si>
    <t xml:space="preserve">GW by 2040 the price needs</t>
  </si>
  <si>
    <t xml:space="preserve">Announced: Switch 12 GW + Meta 1.2 GW.</t>
  </si>
  <si>
    <t xml:space="preserve">Or: cost per kW the price needs, at the base fleet, US$</t>
  </si>
  <si>
    <t xml:space="preserve">Market value, US$m</t>
  </si>
  <si>
    <t xml:space="preserve">Below the highest close</t>
  </si>
  <si>
    <t xml:space="preserve">Cover level: close the short below, US$ (base value)</t>
  </si>
  <si>
    <t xml:space="preserve">Short wrong if the shares close above, US$</t>
  </si>
  <si>
    <t xml:space="preserve">On the path to the bull case.</t>
  </si>
  <si>
    <t xml:space="preserve">Consensus target against the price</t>
  </si>
  <si>
    <t xml:space="preserve">Darlington BWRX-300, four units, C$ per kW</t>
  </si>
  <si>
    <t xml:space="preserve">OPG, 8 May 2025: C$20.9bn for 1.2 GW.</t>
  </si>
  <si>
    <t xml:space="preserve">Darlington, first unit with shared costs, C$ per kW</t>
  </si>
  <si>
    <t xml:space="preserve">C$7.7bn for 300 MW.</t>
  </si>
  <si>
    <t xml:space="preserve">PEERS: ENTERPRISE VALUE PER GIGAWATT OF ANNOUNCED CUSTOMER CAPACITY</t>
  </si>
  <si>
    <t xml:space="preserve">Ticker</t>
  </si>
  <si>
    <t xml:space="preserve">Close 5 Oct</t>
  </si>
  <si>
    <t xml:space="preserve">Shares m</t>
  </si>
  <si>
    <t xml:space="preserve">Net cash US$m</t>
  </si>
  <si>
    <t xml:space="preserve">EV US$m</t>
  </si>
  <si>
    <t xml:space="preserve">Announced GW</t>
  </si>
  <si>
    <t xml:space="preserve">EV per GW, US$bn</t>
  </si>
  <si>
    <t xml:space="preserve">What they make</t>
  </si>
  <si>
    <t xml:space="preserve">Oklo</t>
  </si>
  <si>
    <t xml:space="preserve">NYSE: OKLO</t>
  </si>
  <si>
    <t xml:space="preserve">Aurora sodium-cooled fast reactors it intends to own; sells power</t>
  </si>
  <si>
    <t xml:space="preserve">X-energy</t>
  </si>
  <si>
    <t xml:space="preserve">Nasdaq: XE</t>
  </si>
  <si>
    <t xml:space="preserve">Xe-100 gas-cooled reactors and TRISO fuel; Amazon up to 5 GW by 2039</t>
  </si>
  <si>
    <t xml:space="preserve">NuScale</t>
  </si>
  <si>
    <t xml:space="preserve">NYSE: SMR</t>
  </si>
  <si>
    <t xml:space="preserve">77 MWe light-water modules (NRC approved May 2025); TVA and ENTRA1 up to 6 GW, non-binding</t>
  </si>
  <si>
    <t xml:space="preserve">NANO Nuclear</t>
  </si>
  <si>
    <t xml:space="preserve">Nasdaq: NNE</t>
  </si>
  <si>
    <t xml:space="preserve">n/m</t>
  </si>
  <si>
    <t xml:space="preserve">KRONOS microreactor and others; no gigawatt-scale agreement</t>
  </si>
  <si>
    <t xml:space="preserve">Closes from Yahoo Finance, 5 Oct 2026. Peer shares and net cash from stockanalysis.com, retrieved 6 Oct 2026. Oklo: my share count and my 30 Sep 2026 cash. Announced GW is customer capacity under agreements, none of it under a binding power purchase agreement. Multiples only; no view on the peers' shares.</t>
  </si>
  <si>
    <t xml:space="preserve">SOURCES</t>
  </si>
  <si>
    <t xml:space="preserve">Oklo Form 10-Q for the quarter to 30 June 2026, filed 7 August 2026: balance sheet, statements of operations and cash flows, ATM programmes, customer agreements, Meta prepayment agreement, Centrus letter of intent, DOE and NRC status, Groves.</t>
  </si>
  <si>
    <t xml:space="preserve">Oklo Form 10-Q/A for the quarter to 31 March 2026, filed 17 June 2026 (certification only; figures unchanged).</t>
  </si>
  <si>
    <t xml:space="preserve">Oklo Form 10-K for 2025, filed 17 March 2026: non-binding agreements (risk factors), right of first refusal payment, 2025 figures.</t>
  </si>
  <si>
    <t xml:space="preserve">Oklo Form 8-K and 424B5, 11 September 2026: end of the May 2026 ATM (17,971,448 shares, about US$1bn gross), new US$1bn ATM, options and RSUs outstanding.</t>
  </si>
  <si>
    <t xml:space="preserve">SEC XBRL company facts (CIK 1849056) for quarterly history.</t>
  </si>
  <si>
    <t xml:space="preserve">Oklo second quarter 2026 business update and call, 7 August 2026: 2026 guidance, Aurora-INL in 2028, CFO remarks.</t>
  </si>
  <si>
    <t xml:space="preserve">Oklo and Meta announcement, 9 January 2026. Oklo groundbreaking release, 22 September 2025.</t>
  </si>
  <si>
    <t xml:space="preserve">Ontario Power Generation and Ontario government, Darlington BWRX-300 approval, 8 May 2025.</t>
  </si>
  <si>
    <t xml:space="preserve">Yahoo Finance chart API for prices; stockanalysis.com for peers, consensus, analyst targets and short interest; retrieved 6 October 2026.</t>
  </si>
  <si>
    <t xml:space="preserve">Estimates and the valuation are the author's own. Personal research, not investment advice.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</si>
</sst>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&quot;US$&quot;#,##0.00"/>
    <numFmt numFmtId="166" formatCode="0.00"/>
    <numFmt numFmtId="167" formatCode="#,##0.000"/>
    <numFmt numFmtId="168" formatCode="#,##0.0"/>
    <numFmt numFmtId="169" formatCode="0.0%"/>
    <numFmt numFmtId="170" formatCode="0.0"/>
    <numFmt numFmtId="171" formatCode="#,##0"/>
    <numFmt numFmtId="172" formatCode="0.00\x"/>
    <numFmt numFmtId="173" formatCode="0"/>
    <numFmt numFmtId="174" formatCode="0.000"/>
    <numFmt numFmtId="17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008000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7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5" customFormat="false" ht="15" hidden="false" customHeight="false" outlineLevel="0" collapsed="false">
      <c r="A5" s="3" t="s">
        <v>2</v>
      </c>
      <c r="B5" s="4" t="s">
        <v>3</v>
      </c>
      <c r="C5" s="5" t="s">
        <v>4</v>
      </c>
    </row>
    <row r="6" customFormat="false" ht="15" hidden="false" customHeight="false" outlineLevel="0" collapsed="false">
      <c r="A6" s="3" t="s">
        <v>5</v>
      </c>
      <c r="B6" s="4" t="s">
        <v>6</v>
      </c>
      <c r="C6" s="5"/>
    </row>
    <row r="7" customFormat="false" ht="15" hidden="false" customHeight="false" outlineLevel="0" collapsed="false">
      <c r="A7" s="3" t="s">
        <v>7</v>
      </c>
      <c r="B7" s="6" t="n">
        <f aca="false">Assumptions!$B$7</f>
        <v>35.97</v>
      </c>
      <c r="C7" s="5" t="s">
        <v>8</v>
      </c>
    </row>
    <row r="8" customFormat="false" ht="15" hidden="false" customHeight="false" outlineLevel="0" collapsed="false">
      <c r="A8" s="3" t="s">
        <v>9</v>
      </c>
      <c r="B8" s="6" t="n">
        <f aca="false">Scenarios!I6</f>
        <v>13.508178492179</v>
      </c>
      <c r="C8" s="5" t="s">
        <v>10</v>
      </c>
    </row>
    <row r="9" customFormat="false" ht="15" hidden="false" customHeight="false" outlineLevel="0" collapsed="false">
      <c r="A9" s="3" t="s">
        <v>11</v>
      </c>
      <c r="B9" s="6" t="n">
        <f aca="false">Scenarios!I9</f>
        <v>28.4259931115094</v>
      </c>
      <c r="C9" s="5" t="s">
        <v>12</v>
      </c>
    </row>
    <row r="10" customFormat="false" ht="15" hidden="false" customHeight="false" outlineLevel="0" collapsed="false">
      <c r="A10" s="3" t="s">
        <v>13</v>
      </c>
      <c r="B10" s="4" t="s">
        <v>14</v>
      </c>
      <c r="C10" s="5" t="s">
        <v>15</v>
      </c>
    </row>
    <row r="11" customFormat="false" ht="15" hidden="false" customHeight="false" outlineLevel="0" collapsed="false">
      <c r="A11" s="3" t="s">
        <v>16</v>
      </c>
      <c r="B11" s="7" t="n">
        <v>28</v>
      </c>
      <c r="C11" s="5" t="s">
        <v>17</v>
      </c>
    </row>
    <row r="12" customFormat="false" ht="15" hidden="false" customHeight="false" outlineLevel="0" collapsed="false">
      <c r="A12" s="3" t="s">
        <v>18</v>
      </c>
      <c r="B12" s="4" t="s">
        <v>19</v>
      </c>
      <c r="C12" s="5"/>
    </row>
    <row r="15" customFormat="false" ht="15" hidden="false" customHeight="false" outlineLevel="0" collapsed="false">
      <c r="A15" s="8" t="s">
        <v>20</v>
      </c>
    </row>
    <row r="16" customFormat="false" ht="15" hidden="false" customHeight="false" outlineLevel="0" collapsed="false">
      <c r="A16" s="0" t="s">
        <v>21</v>
      </c>
      <c r="B16" s="0" t="s">
        <v>22</v>
      </c>
    </row>
    <row r="17" customFormat="false" ht="15" hidden="false" customHeight="false" outlineLevel="0" collapsed="false">
      <c r="A17" s="0" t="s">
        <v>23</v>
      </c>
      <c r="B17" s="0" t="s">
        <v>24</v>
      </c>
    </row>
    <row r="18" customFormat="false" ht="15" hidden="false" customHeight="false" outlineLevel="0" collapsed="false">
      <c r="A18" s="0" t="s">
        <v>25</v>
      </c>
      <c r="B18" s="0" t="s">
        <v>26</v>
      </c>
    </row>
    <row r="19" customFormat="false" ht="15" hidden="false" customHeight="false" outlineLevel="0" collapsed="false">
      <c r="A19" s="0" t="s">
        <v>27</v>
      </c>
      <c r="B19" s="0" t="s">
        <v>28</v>
      </c>
    </row>
    <row r="20" customFormat="false" ht="15" hidden="false" customHeight="false" outlineLevel="0" collapsed="false">
      <c r="A20" s="0" t="s">
        <v>29</v>
      </c>
      <c r="B20" s="0" t="s">
        <v>30</v>
      </c>
    </row>
    <row r="21" customFormat="false" ht="15" hidden="false" customHeight="false" outlineLevel="0" collapsed="false">
      <c r="A21" s="0" t="s">
        <v>31</v>
      </c>
      <c r="B21" s="0" t="s">
        <v>32</v>
      </c>
    </row>
    <row r="22" customFormat="false" ht="15" hidden="false" customHeight="false" outlineLevel="0" collapsed="false">
      <c r="A22" s="0" t="s">
        <v>33</v>
      </c>
      <c r="B22" s="0" t="s">
        <v>34</v>
      </c>
    </row>
    <row r="23" customFormat="false" ht="15" hidden="false" customHeight="false" outlineLevel="0" collapsed="false">
      <c r="A23" s="0" t="s">
        <v>35</v>
      </c>
      <c r="B23" s="0" t="s">
        <v>36</v>
      </c>
    </row>
    <row r="24" customFormat="false" ht="15" hidden="false" customHeight="false" outlineLevel="0" collapsed="false">
      <c r="A24" s="0" t="s">
        <v>37</v>
      </c>
      <c r="B24" s="0" t="s">
        <v>38</v>
      </c>
    </row>
    <row r="27" customFormat="false" ht="15" hidden="false" customHeight="false" outlineLevel="0" collapsed="false">
      <c r="A27" s="9" t="s">
        <v>39</v>
      </c>
    </row>
    <row r="28" customFormat="false" ht="15" hidden="false" customHeight="false" outlineLevel="0" collapsed="false">
      <c r="A28" s="9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9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42</v>
      </c>
    </row>
    <row r="5" customFormat="false" ht="15" hidden="false" customHeight="false" outlineLevel="0" collapsed="false">
      <c r="A5" s="10" t="s">
        <v>43</v>
      </c>
      <c r="B5" s="11" t="s">
        <v>44</v>
      </c>
      <c r="C5" s="11" t="s">
        <v>45</v>
      </c>
      <c r="D5" s="11" t="s">
        <v>46</v>
      </c>
    </row>
    <row r="6" customFormat="false" ht="15" hidden="false" customHeight="false" outlineLevel="0" collapsed="false">
      <c r="A6" s="8" t="s">
        <v>47</v>
      </c>
    </row>
    <row r="7" customFormat="false" ht="15" hidden="false" customHeight="false" outlineLevel="0" collapsed="false">
      <c r="A7" s="0" t="s">
        <v>48</v>
      </c>
      <c r="B7" s="12" t="n">
        <v>35.97</v>
      </c>
      <c r="C7" s="0" t="s">
        <v>49</v>
      </c>
      <c r="D7" s="5" t="s">
        <v>50</v>
      </c>
    </row>
    <row r="8" customFormat="false" ht="15" hidden="false" customHeight="false" outlineLevel="0" collapsed="false">
      <c r="A8" s="0" t="s">
        <v>51</v>
      </c>
      <c r="B8" s="12" t="n">
        <v>193.84</v>
      </c>
      <c r="C8" s="0" t="s">
        <v>49</v>
      </c>
      <c r="D8" s="5" t="s">
        <v>52</v>
      </c>
    </row>
    <row r="9" customFormat="false" ht="15" hidden="false" customHeight="false" outlineLevel="0" collapsed="false">
      <c r="A9" s="0" t="s">
        <v>53</v>
      </c>
      <c r="B9" s="12" t="n">
        <v>174.14</v>
      </c>
      <c r="C9" s="0" t="s">
        <v>49</v>
      </c>
      <c r="D9" s="5" t="s">
        <v>52</v>
      </c>
    </row>
    <row r="10" customFormat="false" ht="15" hidden="false" customHeight="false" outlineLevel="0" collapsed="false">
      <c r="A10" s="0" t="s">
        <v>54</v>
      </c>
      <c r="B10" s="12" t="n">
        <v>34.38</v>
      </c>
      <c r="C10" s="0" t="s">
        <v>49</v>
      </c>
      <c r="D10" s="5" t="s">
        <v>52</v>
      </c>
    </row>
    <row r="11" customFormat="false" ht="15" hidden="false" customHeight="false" outlineLevel="0" collapsed="false">
      <c r="A11" s="0" t="s">
        <v>55</v>
      </c>
      <c r="B11" s="12" t="n">
        <v>75.78</v>
      </c>
      <c r="C11" s="0" t="s">
        <v>49</v>
      </c>
      <c r="D11" s="5" t="s">
        <v>56</v>
      </c>
    </row>
    <row r="12" customFormat="false" ht="15" hidden="false" customHeight="false" outlineLevel="0" collapsed="false">
      <c r="A12" s="0" t="s">
        <v>57</v>
      </c>
      <c r="B12" s="12" t="n">
        <v>-0.95</v>
      </c>
      <c r="C12" s="0" t="s">
        <v>49</v>
      </c>
      <c r="D12" s="5" t="s">
        <v>58</v>
      </c>
    </row>
    <row r="13" customFormat="false" ht="15" hidden="false" customHeight="false" outlineLevel="0" collapsed="false">
      <c r="A13" s="8" t="s">
        <v>59</v>
      </c>
    </row>
    <row r="14" customFormat="false" ht="15" hidden="false" customHeight="false" outlineLevel="0" collapsed="false">
      <c r="A14" s="0" t="s">
        <v>60</v>
      </c>
      <c r="B14" s="13" t="n">
        <v>185.090155</v>
      </c>
      <c r="C14" s="0" t="s">
        <v>61</v>
      </c>
      <c r="D14" s="5" t="s">
        <v>62</v>
      </c>
    </row>
    <row r="15" customFormat="false" ht="15" hidden="false" customHeight="false" outlineLevel="0" collapsed="false">
      <c r="A15" s="0" t="s">
        <v>63</v>
      </c>
      <c r="B15" s="13" t="n">
        <v>17.971448</v>
      </c>
      <c r="C15" s="0" t="s">
        <v>61</v>
      </c>
      <c r="D15" s="5" t="s">
        <v>64</v>
      </c>
    </row>
    <row r="16" customFormat="false" ht="15" hidden="false" customHeight="false" outlineLevel="0" collapsed="false">
      <c r="A16" s="0" t="s">
        <v>65</v>
      </c>
      <c r="B16" s="14" t="n">
        <v>1000</v>
      </c>
      <c r="C16" s="0" t="s">
        <v>66</v>
      </c>
      <c r="D16" s="5" t="s">
        <v>67</v>
      </c>
    </row>
    <row r="17" customFormat="false" ht="15" hidden="false" customHeight="false" outlineLevel="0" collapsed="false">
      <c r="A17" s="0" t="s">
        <v>68</v>
      </c>
      <c r="B17" s="13" t="n">
        <v>10.712054</v>
      </c>
      <c r="C17" s="0" t="s">
        <v>61</v>
      </c>
      <c r="D17" s="5" t="s">
        <v>69</v>
      </c>
    </row>
    <row r="18" customFormat="false" ht="15" hidden="false" customHeight="false" outlineLevel="0" collapsed="false">
      <c r="A18" s="0" t="s">
        <v>70</v>
      </c>
      <c r="B18" s="14" t="n">
        <v>680.371</v>
      </c>
      <c r="C18" s="0" t="s">
        <v>66</v>
      </c>
      <c r="D18" s="5" t="s">
        <v>71</v>
      </c>
    </row>
    <row r="19" customFormat="false" ht="15" hidden="false" customHeight="false" outlineLevel="0" collapsed="false">
      <c r="A19" s="0" t="s">
        <v>72</v>
      </c>
      <c r="B19" s="15" t="n">
        <v>0.015</v>
      </c>
      <c r="C19" s="0" t="s">
        <v>73</v>
      </c>
      <c r="D19" s="5" t="s">
        <v>74</v>
      </c>
    </row>
    <row r="20" customFormat="false" ht="15" hidden="false" customHeight="false" outlineLevel="0" collapsed="false">
      <c r="A20" s="0" t="s">
        <v>75</v>
      </c>
      <c r="B20" s="13" t="n">
        <v>5.738353</v>
      </c>
      <c r="C20" s="0" t="s">
        <v>61</v>
      </c>
      <c r="D20" s="5" t="s">
        <v>76</v>
      </c>
    </row>
    <row r="21" customFormat="false" ht="15" hidden="false" customHeight="false" outlineLevel="0" collapsed="false">
      <c r="A21" s="0" t="s">
        <v>77</v>
      </c>
      <c r="B21" s="13" t="n">
        <v>3.677081</v>
      </c>
      <c r="C21" s="0" t="s">
        <v>61</v>
      </c>
      <c r="D21" s="5" t="s">
        <v>78</v>
      </c>
    </row>
    <row r="22" customFormat="false" ht="15" hidden="false" customHeight="false" outlineLevel="0" collapsed="false">
      <c r="A22" s="8" t="s">
        <v>79</v>
      </c>
    </row>
    <row r="23" customFormat="false" ht="15" hidden="false" customHeight="false" outlineLevel="0" collapsed="false">
      <c r="A23" s="0" t="s">
        <v>80</v>
      </c>
      <c r="B23" s="14" t="n">
        <v>3006.289</v>
      </c>
      <c r="C23" s="0" t="s">
        <v>66</v>
      </c>
      <c r="D23" s="5" t="s">
        <v>81</v>
      </c>
    </row>
    <row r="24" customFormat="false" ht="15" hidden="false" customHeight="false" outlineLevel="0" collapsed="false">
      <c r="A24" s="0" t="s">
        <v>82</v>
      </c>
      <c r="B24" s="14" t="n">
        <v>1412.539</v>
      </c>
      <c r="C24" s="0" t="s">
        <v>66</v>
      </c>
      <c r="D24" s="5" t="s">
        <v>83</v>
      </c>
    </row>
    <row r="25" customFormat="false" ht="15" hidden="false" customHeight="false" outlineLevel="0" collapsed="false">
      <c r="A25" s="0" t="s">
        <v>84</v>
      </c>
      <c r="B25" s="14" t="n">
        <v>1851.9</v>
      </c>
      <c r="C25" s="0" t="s">
        <v>66</v>
      </c>
      <c r="D25" s="5" t="s">
        <v>85</v>
      </c>
    </row>
    <row r="26" customFormat="false" ht="15" hidden="false" customHeight="false" outlineLevel="0" collapsed="false">
      <c r="A26" s="0" t="s">
        <v>86</v>
      </c>
      <c r="B26" s="14" t="n">
        <v>65.5</v>
      </c>
      <c r="C26" s="0" t="s">
        <v>66</v>
      </c>
      <c r="D26" s="5" t="s">
        <v>87</v>
      </c>
    </row>
    <row r="27" customFormat="false" ht="15" hidden="false" customHeight="false" outlineLevel="0" collapsed="false">
      <c r="A27" s="0" t="s">
        <v>88</v>
      </c>
      <c r="B27" s="14" t="n">
        <v>126.9</v>
      </c>
      <c r="C27" s="0" t="s">
        <v>66</v>
      </c>
      <c r="D27" s="5" t="s">
        <v>89</v>
      </c>
    </row>
    <row r="28" customFormat="false" ht="15" hidden="false" customHeight="false" outlineLevel="0" collapsed="false">
      <c r="A28" s="0" t="s">
        <v>90</v>
      </c>
      <c r="B28" s="14" t="n">
        <v>120</v>
      </c>
      <c r="C28" s="0" t="s">
        <v>66</v>
      </c>
      <c r="D28" s="5" t="s">
        <v>91</v>
      </c>
    </row>
    <row r="29" customFormat="false" ht="15" hidden="false" customHeight="false" outlineLevel="0" collapsed="false">
      <c r="A29" s="0" t="s">
        <v>92</v>
      </c>
      <c r="B29" s="14" t="n">
        <v>150</v>
      </c>
      <c r="C29" s="0" t="s">
        <v>66</v>
      </c>
      <c r="D29" s="5" t="s">
        <v>93</v>
      </c>
    </row>
    <row r="30" customFormat="false" ht="15" hidden="false" customHeight="false" outlineLevel="0" collapsed="false">
      <c r="A30" s="0" t="s">
        <v>94</v>
      </c>
      <c r="B30" s="14" t="n">
        <v>400</v>
      </c>
      <c r="C30" s="0" t="s">
        <v>66</v>
      </c>
      <c r="D30" s="5" t="s">
        <v>95</v>
      </c>
    </row>
    <row r="31" customFormat="false" ht="15" hidden="false" customHeight="false" outlineLevel="0" collapsed="false">
      <c r="A31" s="0" t="s">
        <v>96</v>
      </c>
      <c r="B31" s="14" t="n">
        <v>500</v>
      </c>
      <c r="C31" s="0" t="s">
        <v>66</v>
      </c>
      <c r="D31" s="5" t="s">
        <v>93</v>
      </c>
    </row>
    <row r="32" customFormat="false" ht="15" hidden="false" customHeight="false" outlineLevel="0" collapsed="false">
      <c r="A32" s="8" t="s">
        <v>97</v>
      </c>
    </row>
    <row r="33" customFormat="false" ht="15" hidden="false" customHeight="false" outlineLevel="0" collapsed="false">
      <c r="A33" s="0" t="s">
        <v>98</v>
      </c>
      <c r="B33" s="16" t="n">
        <v>140</v>
      </c>
      <c r="C33" s="0" t="s">
        <v>66</v>
      </c>
      <c r="D33" s="5" t="s">
        <v>99</v>
      </c>
    </row>
    <row r="34" customFormat="false" ht="15" hidden="false" customHeight="false" outlineLevel="0" collapsed="false">
      <c r="A34" s="0" t="s">
        <v>100</v>
      </c>
      <c r="B34" s="16" t="n">
        <v>450</v>
      </c>
      <c r="C34" s="0" t="s">
        <v>66</v>
      </c>
      <c r="D34" s="5" t="s">
        <v>101</v>
      </c>
    </row>
    <row r="35" customFormat="false" ht="15" hidden="false" customHeight="false" outlineLevel="0" collapsed="false">
      <c r="A35" s="0" t="s">
        <v>102</v>
      </c>
      <c r="B35" s="16" t="n">
        <v>170</v>
      </c>
      <c r="C35" s="0" t="s">
        <v>66</v>
      </c>
      <c r="D35" s="5" t="s">
        <v>103</v>
      </c>
    </row>
    <row r="36" customFormat="false" ht="15" hidden="false" customHeight="false" outlineLevel="0" collapsed="false">
      <c r="A36" s="0" t="s">
        <v>104</v>
      </c>
      <c r="B36" s="16" t="n">
        <v>550</v>
      </c>
      <c r="C36" s="0" t="s">
        <v>66</v>
      </c>
      <c r="D36" s="5" t="s">
        <v>105</v>
      </c>
    </row>
    <row r="37" customFormat="false" ht="15" hidden="false" customHeight="false" outlineLevel="0" collapsed="false">
      <c r="A37" s="8" t="s">
        <v>106</v>
      </c>
    </row>
    <row r="38" customFormat="false" ht="15" hidden="false" customHeight="false" outlineLevel="0" collapsed="false">
      <c r="A38" s="0" t="s">
        <v>107</v>
      </c>
      <c r="B38" s="16" t="n">
        <v>75</v>
      </c>
      <c r="C38" s="0" t="s">
        <v>108</v>
      </c>
      <c r="D38" s="5" t="s">
        <v>109</v>
      </c>
    </row>
    <row r="39" customFormat="false" ht="15" hidden="false" customHeight="false" outlineLevel="0" collapsed="false">
      <c r="A39" s="0" t="s">
        <v>110</v>
      </c>
      <c r="B39" s="17" t="n">
        <v>0.9</v>
      </c>
      <c r="C39" s="0" t="s">
        <v>73</v>
      </c>
      <c r="D39" s="5" t="s">
        <v>103</v>
      </c>
    </row>
    <row r="40" customFormat="false" ht="15" hidden="false" customHeight="false" outlineLevel="0" collapsed="false">
      <c r="A40" s="0" t="s">
        <v>111</v>
      </c>
      <c r="B40" s="18" t="n">
        <v>35</v>
      </c>
      <c r="C40" s="0" t="s">
        <v>49</v>
      </c>
      <c r="D40" s="5" t="s">
        <v>112</v>
      </c>
    </row>
    <row r="41" customFormat="false" ht="15" hidden="false" customHeight="false" outlineLevel="0" collapsed="false">
      <c r="A41" s="0" t="s">
        <v>113</v>
      </c>
      <c r="B41" s="17" t="n">
        <v>0.02</v>
      </c>
      <c r="C41" s="0" t="s">
        <v>73</v>
      </c>
      <c r="D41" s="5" t="s">
        <v>103</v>
      </c>
    </row>
    <row r="42" customFormat="false" ht="15" hidden="false" customHeight="false" outlineLevel="0" collapsed="false">
      <c r="A42" s="0" t="s">
        <v>114</v>
      </c>
      <c r="B42" s="16" t="n">
        <v>40</v>
      </c>
      <c r="C42" s="0" t="s">
        <v>115</v>
      </c>
      <c r="D42" s="5" t="s">
        <v>116</v>
      </c>
    </row>
    <row r="43" customFormat="false" ht="15" hidden="false" customHeight="false" outlineLevel="0" collapsed="false">
      <c r="A43" s="0" t="s">
        <v>117</v>
      </c>
      <c r="B43" s="17" t="n">
        <v>0.08</v>
      </c>
      <c r="C43" s="0" t="s">
        <v>73</v>
      </c>
      <c r="D43" s="5" t="s">
        <v>103</v>
      </c>
    </row>
    <row r="44" customFormat="false" ht="15" hidden="false" customHeight="false" outlineLevel="0" collapsed="false">
      <c r="A44" s="0" t="s">
        <v>118</v>
      </c>
      <c r="B44" s="17" t="n">
        <v>0.1</v>
      </c>
      <c r="C44" s="0" t="s">
        <v>73</v>
      </c>
      <c r="D44" s="5" t="s">
        <v>119</v>
      </c>
    </row>
    <row r="45" customFormat="false" ht="23.85" hidden="false" customHeight="false" outlineLevel="0" collapsed="false">
      <c r="A45" s="0" t="s">
        <v>120</v>
      </c>
      <c r="B45" s="16" t="n">
        <v>400</v>
      </c>
      <c r="C45" s="0" t="s">
        <v>66</v>
      </c>
      <c r="D45" s="5" t="s">
        <v>121</v>
      </c>
    </row>
    <row r="46" customFormat="false" ht="15" hidden="false" customHeight="false" outlineLevel="0" collapsed="false">
      <c r="A46" s="0" t="s">
        <v>122</v>
      </c>
      <c r="B46" s="19" t="n">
        <v>2028.5</v>
      </c>
      <c r="C46" s="0" t="s">
        <v>123</v>
      </c>
      <c r="D46" s="5" t="s">
        <v>124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125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10" t="s">
        <v>126</v>
      </c>
      <c r="B4" s="11" t="s">
        <v>44</v>
      </c>
      <c r="C4" s="11" t="s">
        <v>127</v>
      </c>
    </row>
    <row r="5" customFormat="false" ht="15" hidden="false" customHeight="false" outlineLevel="0" collapsed="false">
      <c r="A5" s="0" t="s">
        <v>128</v>
      </c>
      <c r="B5" s="20" t="n">
        <f aca="false">Assumptions!$B$15-Assumptions!$B$17</f>
        <v>7.259394</v>
      </c>
      <c r="C5" s="5" t="s">
        <v>129</v>
      </c>
    </row>
    <row r="6" customFormat="false" ht="15" hidden="false" customHeight="false" outlineLevel="0" collapsed="false">
      <c r="A6" s="0" t="s">
        <v>130</v>
      </c>
      <c r="B6" s="21" t="n">
        <f aca="false">Assumptions!$B$16-Assumptions!$B$18</f>
        <v>319.629</v>
      </c>
      <c r="C6" s="5" t="s">
        <v>131</v>
      </c>
    </row>
    <row r="7" customFormat="false" ht="15" hidden="false" customHeight="false" outlineLevel="0" collapsed="false">
      <c r="A7" s="0" t="s">
        <v>132</v>
      </c>
      <c r="B7" s="22" t="n">
        <f aca="false">B6/B5</f>
        <v>44.0297082649048</v>
      </c>
      <c r="C7" s="5" t="s">
        <v>133</v>
      </c>
    </row>
    <row r="8" customFormat="false" ht="15" hidden="false" customHeight="false" outlineLevel="0" collapsed="false">
      <c r="A8" s="0" t="s">
        <v>134</v>
      </c>
      <c r="B8" s="21" t="n">
        <f aca="false">B6*(1-Assumptions!$B$19)</f>
        <v>314.834565</v>
      </c>
      <c r="C8" s="5"/>
    </row>
    <row r="9" customFormat="false" ht="15" hidden="false" customHeight="false" outlineLevel="0" collapsed="false">
      <c r="A9" s="0" t="s">
        <v>135</v>
      </c>
      <c r="B9" s="20" t="n">
        <f aca="false">Assumptions!$B$14+B5</f>
        <v>192.349549</v>
      </c>
      <c r="C9" s="5" t="s">
        <v>136</v>
      </c>
    </row>
    <row r="10" customFormat="false" ht="15" hidden="false" customHeight="false" outlineLevel="0" collapsed="false">
      <c r="A10" s="0" t="s">
        <v>137</v>
      </c>
      <c r="B10" s="20" t="n">
        <f aca="false">B9+Assumptions!$B$20+Assumptions!$B$21</f>
        <v>201.764983</v>
      </c>
      <c r="C10" s="5" t="s">
        <v>138</v>
      </c>
    </row>
    <row r="12" customFormat="false" ht="15" hidden="false" customHeight="false" outlineLevel="0" collapsed="false">
      <c r="A12" s="0" t="s">
        <v>139</v>
      </c>
      <c r="B12" s="21" t="n">
        <f aca="false">Assumptions!$B$23-Assumptions!$B$24</f>
        <v>1593.75</v>
      </c>
      <c r="C12" s="5" t="s">
        <v>140</v>
      </c>
    </row>
    <row r="13" customFormat="false" ht="15" hidden="false" customHeight="false" outlineLevel="0" collapsed="false">
      <c r="A13" s="0" t="s">
        <v>141</v>
      </c>
      <c r="B13" s="21" t="n">
        <f aca="false">Assumptions!$B$25</f>
        <v>1851.9</v>
      </c>
      <c r="C13" s="5"/>
    </row>
    <row r="14" customFormat="false" ht="15" hidden="false" customHeight="false" outlineLevel="0" collapsed="false">
      <c r="A14" s="0" t="s">
        <v>142</v>
      </c>
      <c r="B14" s="23" t="n">
        <f aca="false">B13-B12</f>
        <v>258.15</v>
      </c>
      <c r="C14" s="5" t="s">
        <v>143</v>
      </c>
    </row>
    <row r="16" customFormat="false" ht="15" hidden="false" customHeight="false" outlineLevel="0" collapsed="false">
      <c r="A16" s="0" t="s">
        <v>144</v>
      </c>
      <c r="B16" s="21" t="n">
        <f aca="false">Assumptions!$B$33+Assumptions!$B$34</f>
        <v>590</v>
      </c>
      <c r="C16" s="5" t="s">
        <v>145</v>
      </c>
    </row>
    <row r="17" customFormat="false" ht="15" hidden="false" customHeight="false" outlineLevel="0" collapsed="false">
      <c r="A17" s="0" t="s">
        <v>146</v>
      </c>
      <c r="B17" s="21" t="n">
        <f aca="false">B16-Assumptions!$B$26-Assumptions!$B$27</f>
        <v>397.6</v>
      </c>
      <c r="C17" s="5"/>
    </row>
    <row r="18" customFormat="false" ht="15" hidden="false" customHeight="false" outlineLevel="0" collapsed="false">
      <c r="A18" s="0" t="s">
        <v>147</v>
      </c>
      <c r="B18" s="23" t="n">
        <f aca="false">B17/2</f>
        <v>198.8</v>
      </c>
      <c r="C18" s="5"/>
    </row>
    <row r="19" customFormat="false" ht="15" hidden="false" customHeight="false" outlineLevel="0" collapsed="false">
      <c r="A19" s="0" t="s">
        <v>148</v>
      </c>
      <c r="B19" s="21" t="n">
        <f aca="false">Assumptions!$B$23+B8-B18</f>
        <v>3122.323565</v>
      </c>
      <c r="C19" s="5" t="s">
        <v>149</v>
      </c>
    </row>
    <row r="20" customFormat="false" ht="15" hidden="false" customHeight="false" outlineLevel="0" collapsed="false">
      <c r="A20" s="0" t="s">
        <v>150</v>
      </c>
      <c r="B20" s="21" t="n">
        <f aca="false">Assumptions!$B$23+B8-B17</f>
        <v>2923.523565</v>
      </c>
      <c r="C20" s="5"/>
    </row>
    <row r="21" customFormat="false" ht="15" hidden="false" customHeight="false" outlineLevel="0" collapsed="false">
      <c r="A21" s="0" t="s">
        <v>151</v>
      </c>
      <c r="B21" s="21" t="n">
        <f aca="false">Assumptions!$B$35+Assumptions!$B$36</f>
        <v>720</v>
      </c>
      <c r="C21" s="5"/>
    </row>
    <row r="22" customFormat="false" ht="15" hidden="false" customHeight="false" outlineLevel="0" collapsed="false">
      <c r="A22" s="0" t="s">
        <v>152</v>
      </c>
      <c r="B22" s="23" t="n">
        <f aca="false">B20-0.75*B21</f>
        <v>2383.523565</v>
      </c>
      <c r="C22" s="5" t="s">
        <v>153</v>
      </c>
    </row>
    <row r="23" customFormat="false" ht="15" hidden="false" customHeight="false" outlineLevel="0" collapsed="false">
      <c r="A23" s="0" t="s">
        <v>154</v>
      </c>
      <c r="B23" s="22" t="n">
        <f aca="false">B22/B10</f>
        <v>11.8133658752867</v>
      </c>
      <c r="C23" s="5" t="s">
        <v>155</v>
      </c>
    </row>
    <row r="24" customFormat="false" ht="15" hidden="false" customHeight="false" outlineLevel="0" collapsed="false">
      <c r="A24" s="0" t="s">
        <v>156</v>
      </c>
      <c r="B24" s="24" t="n">
        <f aca="false">Assumptions!$B$7*B9</f>
        <v>6918.81327753</v>
      </c>
      <c r="C24" s="5"/>
    </row>
    <row r="25" customFormat="false" ht="15" hidden="false" customHeight="false" outlineLevel="0" collapsed="false">
      <c r="A25" s="0" t="s">
        <v>157</v>
      </c>
      <c r="B25" s="25" t="n">
        <f aca="false">B24-B19</f>
        <v>3796.48971253</v>
      </c>
      <c r="C25" s="5" t="s">
        <v>158</v>
      </c>
    </row>
    <row r="26" customFormat="false" ht="15" hidden="false" customHeight="false" outlineLevel="0" collapsed="false">
      <c r="A26" s="0" t="s">
        <v>159</v>
      </c>
      <c r="B26" s="26" t="n">
        <f aca="false">B24/B19</f>
        <v>2.21591809224615</v>
      </c>
      <c r="C26" s="5"/>
    </row>
    <row r="27" customFormat="false" ht="15" hidden="false" customHeight="false" outlineLevel="0" collapsed="false">
      <c r="A27" s="0" t="s">
        <v>160</v>
      </c>
      <c r="B27" s="27" t="n">
        <f aca="false">B9/122.1-1</f>
        <v>0.575344381654382</v>
      </c>
      <c r="C27" s="5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10" min="2" style="0" width="11"/>
  </cols>
  <sheetData>
    <row r="1" customFormat="false" ht="15" hidden="false" customHeight="false" outlineLevel="0" collapsed="false">
      <c r="A1" s="1" t="s">
        <v>162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10" t="s">
        <v>163</v>
      </c>
      <c r="B4" s="11" t="s">
        <v>164</v>
      </c>
      <c r="C4" s="11" t="s">
        <v>165</v>
      </c>
      <c r="D4" s="11" t="s">
        <v>166</v>
      </c>
      <c r="E4" s="11" t="s">
        <v>167</v>
      </c>
      <c r="F4" s="11" t="s">
        <v>168</v>
      </c>
      <c r="G4" s="11" t="s">
        <v>169</v>
      </c>
      <c r="H4" s="11" t="s">
        <v>170</v>
      </c>
      <c r="I4" s="11" t="s">
        <v>171</v>
      </c>
      <c r="J4" s="11" t="s">
        <v>172</v>
      </c>
    </row>
    <row r="5" customFormat="false" ht="15" hidden="false" customHeight="false" outlineLevel="0" collapsed="false">
      <c r="A5" s="0" t="s">
        <v>173</v>
      </c>
      <c r="B5" s="28" t="n">
        <v>294.6</v>
      </c>
      <c r="C5" s="28" t="n">
        <v>288.5</v>
      </c>
      <c r="D5" s="28" t="n">
        <v>275.3</v>
      </c>
      <c r="E5" s="28" t="n">
        <v>260.7</v>
      </c>
      <c r="F5" s="28" t="n">
        <v>683</v>
      </c>
      <c r="G5" s="28" t="n">
        <v>1183.6</v>
      </c>
      <c r="H5" s="28" t="n">
        <v>1412.5</v>
      </c>
      <c r="I5" s="28" t="n">
        <v>2536.9</v>
      </c>
      <c r="J5" s="28" t="n">
        <v>3006.3</v>
      </c>
    </row>
    <row r="6" customFormat="false" ht="15" hidden="false" customHeight="false" outlineLevel="0" collapsed="false">
      <c r="A6" s="0" t="s">
        <v>174</v>
      </c>
      <c r="B6" s="28" t="n">
        <v>122.1</v>
      </c>
      <c r="C6" s="28" t="n">
        <v>122.1</v>
      </c>
      <c r="D6" s="28" t="n">
        <v>137.7</v>
      </c>
      <c r="E6" s="28" t="n">
        <v>139.2</v>
      </c>
      <c r="F6" s="28" t="n">
        <v>147.6</v>
      </c>
      <c r="G6" s="28" t="n">
        <v>156.2</v>
      </c>
      <c r="H6" s="28" t="n">
        <v>160.5</v>
      </c>
      <c r="I6" s="28" t="n">
        <v>173.9</v>
      </c>
      <c r="J6" s="28" t="n">
        <v>185.1</v>
      </c>
    </row>
    <row r="7" customFormat="false" ht="15" hidden="false" customHeight="false" outlineLevel="0" collapsed="false">
      <c r="A7" s="0" t="s">
        <v>175</v>
      </c>
      <c r="B7" s="28" t="n">
        <v>0.08</v>
      </c>
      <c r="C7" s="28" t="n">
        <v>0.11</v>
      </c>
      <c r="D7" s="28" t="n">
        <v>0.07</v>
      </c>
      <c r="E7" s="28" t="n">
        <v>0.33</v>
      </c>
      <c r="F7" s="28" t="n">
        <v>0.88</v>
      </c>
      <c r="G7" s="28" t="n">
        <v>5.05</v>
      </c>
      <c r="H7" s="28" t="n">
        <v>26.95</v>
      </c>
      <c r="I7" s="28" t="n">
        <v>32.81</v>
      </c>
      <c r="J7" s="28" t="n">
        <v>94.09</v>
      </c>
    </row>
    <row r="8" customFormat="false" ht="15" hidden="false" customHeight="false" outlineLevel="0" collapsed="false">
      <c r="A8" s="0" t="s">
        <v>176</v>
      </c>
      <c r="B8" s="28" t="n">
        <v>-9.75</v>
      </c>
      <c r="C8" s="28" t="n">
        <v>-7.88</v>
      </c>
      <c r="D8" s="28" t="n">
        <v>-13.47</v>
      </c>
      <c r="E8" s="28" t="n">
        <v>-12.24</v>
      </c>
      <c r="F8" s="28" t="n">
        <v>-18.47</v>
      </c>
      <c r="G8" s="28" t="n">
        <v>-18.03</v>
      </c>
      <c r="H8" s="28" t="n">
        <v>-33.43</v>
      </c>
      <c r="I8" s="28" t="n">
        <v>-17.87</v>
      </c>
      <c r="J8" s="28" t="n">
        <v>-47.59</v>
      </c>
    </row>
    <row r="9" customFormat="false" ht="15" hidden="false" customHeight="false" outlineLevel="0" collapsed="false">
      <c r="A9" s="0" t="s">
        <v>177</v>
      </c>
      <c r="B9" s="28" t="n">
        <v>-27.3</v>
      </c>
      <c r="C9" s="28" t="n">
        <v>-10</v>
      </c>
      <c r="D9" s="28" t="n">
        <v>-12.3</v>
      </c>
      <c r="E9" s="28" t="n">
        <v>-9.8</v>
      </c>
      <c r="F9" s="28" t="n">
        <v>-24.7</v>
      </c>
      <c r="G9" s="28" t="n">
        <v>-29.7</v>
      </c>
      <c r="H9" s="28" t="n">
        <v>-41.4</v>
      </c>
      <c r="I9" s="28" t="n">
        <v>-33.1</v>
      </c>
      <c r="J9" s="28" t="n">
        <v>-48.5</v>
      </c>
    </row>
    <row r="10" customFormat="false" ht="15" hidden="false" customHeight="false" outlineLevel="0" collapsed="false">
      <c r="A10" s="0" t="s">
        <v>178</v>
      </c>
      <c r="B10" s="23" t="n">
        <f aca="false">B7-B8</f>
        <v>9.83</v>
      </c>
      <c r="C10" s="23" t="n">
        <f aca="false">C7-C8</f>
        <v>7.99</v>
      </c>
      <c r="D10" s="23" t="n">
        <f aca="false">D7-D8</f>
        <v>13.54</v>
      </c>
      <c r="E10" s="23" t="n">
        <f aca="false">E7-E8</f>
        <v>12.57</v>
      </c>
      <c r="F10" s="23" t="n">
        <f aca="false">F7-F8</f>
        <v>19.35</v>
      </c>
      <c r="G10" s="23" t="n">
        <f aca="false">G7-G8</f>
        <v>23.08</v>
      </c>
      <c r="H10" s="23" t="n">
        <f aca="false">H7-H8</f>
        <v>60.38</v>
      </c>
      <c r="I10" s="23" t="n">
        <f aca="false">I7-I8</f>
        <v>50.68</v>
      </c>
      <c r="J10" s="23" t="n">
        <f aca="false">J7-J8</f>
        <v>141.68</v>
      </c>
    </row>
    <row r="12" customFormat="false" ht="15" hidden="false" customHeight="false" outlineLevel="0" collapsed="false">
      <c r="A12" s="10" t="s">
        <v>179</v>
      </c>
      <c r="B12" s="11" t="s">
        <v>180</v>
      </c>
      <c r="C12" s="11" t="s">
        <v>181</v>
      </c>
      <c r="D12" s="11" t="s">
        <v>182</v>
      </c>
      <c r="E12" s="11" t="s">
        <v>183</v>
      </c>
      <c r="F12" s="11" t="s">
        <v>184</v>
      </c>
      <c r="G12" s="11" t="s">
        <v>185</v>
      </c>
    </row>
    <row r="13" customFormat="false" ht="15" hidden="false" customHeight="false" outlineLevel="0" collapsed="false">
      <c r="A13" s="0" t="s">
        <v>186</v>
      </c>
      <c r="B13" s="28" t="n">
        <v>0</v>
      </c>
      <c r="C13" s="28" t="n">
        <v>0</v>
      </c>
      <c r="D13" s="28" t="n">
        <v>1.21</v>
      </c>
      <c r="E13" s="28"/>
      <c r="F13" s="28" t="n">
        <v>2.74</v>
      </c>
      <c r="G13" s="28"/>
    </row>
    <row r="14" customFormat="false" ht="15" hidden="false" customHeight="false" outlineLevel="0" collapsed="false">
      <c r="A14" s="0" t="s">
        <v>187</v>
      </c>
      <c r="B14" s="28" t="n">
        <v>-52.8</v>
      </c>
      <c r="C14" s="28" t="n">
        <v>-139.3</v>
      </c>
      <c r="D14" s="28" t="n">
        <v>-124.2</v>
      </c>
      <c r="E14" s="28"/>
      <c r="F14" s="28"/>
      <c r="G14" s="28"/>
    </row>
    <row r="15" customFormat="false" ht="15" hidden="false" customHeight="false" outlineLevel="0" collapsed="false">
      <c r="A15" s="0" t="s">
        <v>177</v>
      </c>
      <c r="B15" s="28" t="n">
        <v>-73.6</v>
      </c>
      <c r="C15" s="28" t="n">
        <v>-105.7</v>
      </c>
      <c r="D15" s="28" t="n">
        <v>-81.6</v>
      </c>
      <c r="E15" s="28"/>
      <c r="F15" s="28"/>
      <c r="G15" s="28"/>
    </row>
    <row r="16" customFormat="false" ht="15" hidden="false" customHeight="false" outlineLevel="0" collapsed="false">
      <c r="A16" s="0" t="s">
        <v>188</v>
      </c>
      <c r="B16" s="28" t="n">
        <v>38.4</v>
      </c>
      <c r="C16" s="28" t="n">
        <v>82.2</v>
      </c>
      <c r="D16" s="21" t="n">
        <f aca="false">Assumptions!$B$26</f>
        <v>65.5</v>
      </c>
      <c r="E16" s="28" t="s">
        <v>189</v>
      </c>
      <c r="F16" s="21" t="n">
        <f aca="false">Assumptions!$B$33</f>
        <v>140</v>
      </c>
      <c r="G16" s="21" t="n">
        <f aca="false">Assumptions!$B$35</f>
        <v>170</v>
      </c>
    </row>
    <row r="17" customFormat="false" ht="15" hidden="false" customHeight="false" outlineLevel="0" collapsed="false">
      <c r="A17" s="0" t="s">
        <v>175</v>
      </c>
      <c r="B17" s="28" t="n">
        <v>0.4</v>
      </c>
      <c r="C17" s="28" t="n">
        <v>33.2</v>
      </c>
      <c r="D17" s="21" t="n">
        <f aca="false">Assumptions!$B$27</f>
        <v>126.9</v>
      </c>
      <c r="E17" s="28" t="s">
        <v>190</v>
      </c>
      <c r="F17" s="21" t="n">
        <f aca="false">Assumptions!$B$34</f>
        <v>450</v>
      </c>
      <c r="G17" s="21" t="n">
        <f aca="false">Assumptions!$B$36</f>
        <v>550</v>
      </c>
    </row>
    <row r="18" customFormat="false" ht="15" hidden="false" customHeight="false" outlineLevel="0" collapsed="false">
      <c r="A18" s="0" t="s">
        <v>191</v>
      </c>
      <c r="B18" s="28" t="n">
        <v>275.3</v>
      </c>
      <c r="C18" s="21" t="n">
        <f aca="false">Assumptions!$B$24</f>
        <v>1412.539</v>
      </c>
      <c r="D18" s="21" t="n">
        <f aca="false">Assumptions!$B$23</f>
        <v>3006.289</v>
      </c>
      <c r="E18" s="28"/>
      <c r="F18" s="21" t="n">
        <f aca="false">Cash!B20</f>
        <v>2923.523565</v>
      </c>
      <c r="G18" s="21" t="n">
        <f aca="false">Cash!B20-Cash!B21</f>
        <v>2203.523565</v>
      </c>
    </row>
    <row r="19" customFormat="false" ht="15" hidden="false" customHeight="false" outlineLevel="0" collapsed="false">
      <c r="A19" s="0" t="s">
        <v>174</v>
      </c>
      <c r="B19" s="28" t="n">
        <v>137.7</v>
      </c>
      <c r="C19" s="28" t="n">
        <v>160.5</v>
      </c>
      <c r="D19" s="21" t="n">
        <f aca="false">Assumptions!$B$14</f>
        <v>185.090155</v>
      </c>
      <c r="E19" s="28"/>
      <c r="F19" s="21" t="n">
        <f aca="false">Cash!B9</f>
        <v>192.349549</v>
      </c>
      <c r="G19" s="28"/>
    </row>
    <row r="20" customFormat="false" ht="15" hidden="false" customHeight="false" outlineLevel="0" collapsed="false">
      <c r="A20" s="0" t="s">
        <v>192</v>
      </c>
      <c r="B20" s="28" t="n">
        <v>0</v>
      </c>
      <c r="C20" s="28" t="n">
        <v>1263.6</v>
      </c>
      <c r="D20" s="21" t="n">
        <f aca="false">Assumptions!$B$25</f>
        <v>1851.9</v>
      </c>
      <c r="E20" s="28"/>
      <c r="F20" s="28"/>
      <c r="G20" s="28"/>
    </row>
    <row r="22" customFormat="false" ht="15" hidden="false" customHeight="false" outlineLevel="0" collapsed="false">
      <c r="A22" s="9" t="s">
        <v>193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4" min="3" style="0" width="18"/>
  </cols>
  <sheetData>
    <row r="1" customFormat="false" ht="15" hidden="false" customHeight="false" outlineLevel="0" collapsed="false">
      <c r="A1" s="1" t="s">
        <v>194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10" t="s">
        <v>195</v>
      </c>
      <c r="B4" s="11" t="s">
        <v>196</v>
      </c>
      <c r="C4" s="11" t="s">
        <v>197</v>
      </c>
      <c r="D4" s="11" t="s">
        <v>198</v>
      </c>
    </row>
    <row r="5" customFormat="false" ht="15" hidden="false" customHeight="false" outlineLevel="0" collapsed="false">
      <c r="A5" s="29" t="n">
        <v>2030</v>
      </c>
      <c r="B5" s="30" t="n">
        <v>150</v>
      </c>
      <c r="C5" s="29" t="n">
        <v>0</v>
      </c>
      <c r="D5" s="31" t="n">
        <f aca="false">1/(1+Assumptions!$B$44)^(A5+0.5-2027.75)</f>
        <v>0.76943177241506</v>
      </c>
    </row>
    <row r="6" customFormat="false" ht="15" hidden="false" customHeight="false" outlineLevel="0" collapsed="false">
      <c r="A6" s="29" t="n">
        <v>2031</v>
      </c>
      <c r="B6" s="30" t="n">
        <v>225</v>
      </c>
      <c r="C6" s="29" t="n">
        <v>0</v>
      </c>
      <c r="D6" s="31" t="n">
        <f aca="false">1/(1+Assumptions!$B$44)^(A6+0.5-2027.75)</f>
        <v>0.699483429468236</v>
      </c>
    </row>
    <row r="7" customFormat="false" ht="15" hidden="false" customHeight="false" outlineLevel="0" collapsed="false">
      <c r="A7" s="29" t="n">
        <v>2032</v>
      </c>
      <c r="B7" s="30" t="n">
        <v>225</v>
      </c>
      <c r="C7" s="29" t="n">
        <v>0</v>
      </c>
      <c r="D7" s="31" t="n">
        <f aca="false">1/(1+Assumptions!$B$44)^(A7+0.5-2027.75)</f>
        <v>0.635894026789306</v>
      </c>
    </row>
    <row r="8" customFormat="false" ht="15" hidden="false" customHeight="false" outlineLevel="0" collapsed="false">
      <c r="A8" s="29" t="n">
        <v>2033</v>
      </c>
      <c r="B8" s="30" t="n">
        <v>300</v>
      </c>
      <c r="C8" s="29" t="n">
        <v>1</v>
      </c>
      <c r="D8" s="31" t="n">
        <f aca="false">1/(1+Assumptions!$B$44)^(A8+0.5-2027.75)</f>
        <v>0.578085478899369</v>
      </c>
    </row>
    <row r="9" customFormat="false" ht="15" hidden="false" customHeight="false" outlineLevel="0" collapsed="false">
      <c r="A9" s="29" t="n">
        <v>2034</v>
      </c>
      <c r="B9" s="30" t="n">
        <v>300</v>
      </c>
      <c r="C9" s="29" t="n">
        <v>1</v>
      </c>
      <c r="D9" s="31" t="n">
        <f aca="false">1/(1+Assumptions!$B$44)^(A9+0.5-2027.75)</f>
        <v>0.525532253544881</v>
      </c>
    </row>
    <row r="10" customFormat="false" ht="15" hidden="false" customHeight="false" outlineLevel="0" collapsed="false">
      <c r="A10" s="29" t="n">
        <v>2035</v>
      </c>
      <c r="B10" s="30" t="n">
        <v>0</v>
      </c>
      <c r="C10" s="29" t="n">
        <v>1</v>
      </c>
      <c r="D10" s="31" t="n">
        <f aca="false">1/(1+Assumptions!$B$44)^(A10+0.5-2027.75)</f>
        <v>0.47775659413171</v>
      </c>
    </row>
    <row r="11" customFormat="false" ht="15" hidden="false" customHeight="false" outlineLevel="0" collapsed="false">
      <c r="A11" s="29" t="n">
        <v>2036</v>
      </c>
      <c r="B11" s="30" t="n">
        <v>0</v>
      </c>
      <c r="C11" s="29" t="n">
        <v>1</v>
      </c>
      <c r="D11" s="31" t="n">
        <f aca="false">1/(1+Assumptions!$B$44)^(A11+0.5-2027.75)</f>
        <v>0.434324176483372</v>
      </c>
    </row>
    <row r="12" customFormat="false" ht="15" hidden="false" customHeight="false" outlineLevel="0" collapsed="false">
      <c r="A12" s="29" t="n">
        <v>2037</v>
      </c>
      <c r="B12" s="30" t="n">
        <v>0</v>
      </c>
      <c r="C12" s="29" t="n">
        <v>1</v>
      </c>
      <c r="D12" s="31" t="n">
        <f aca="false">1/(1+Assumptions!$B$44)^(A12+0.5-2027.75)</f>
        <v>0.394840160439429</v>
      </c>
    </row>
    <row r="13" customFormat="false" ht="15" hidden="false" customHeight="false" outlineLevel="0" collapsed="false">
      <c r="A13" s="29" t="n">
        <v>2038</v>
      </c>
      <c r="B13" s="30" t="n">
        <v>0</v>
      </c>
      <c r="C13" s="29" t="n">
        <v>1</v>
      </c>
      <c r="D13" s="31" t="n">
        <f aca="false">1/(1+Assumptions!$B$44)^(A13+0.5-2027.75)</f>
        <v>0.358945600399481</v>
      </c>
    </row>
    <row r="14" customFormat="false" ht="15" hidden="false" customHeight="false" outlineLevel="0" collapsed="false">
      <c r="A14" s="29" t="n">
        <v>2039</v>
      </c>
      <c r="B14" s="30" t="n">
        <v>0</v>
      </c>
      <c r="C14" s="29" t="n">
        <v>1</v>
      </c>
      <c r="D14" s="31" t="n">
        <f aca="false">1/(1+Assumptions!$B$44)^(A14+0.5-2027.75)</f>
        <v>0.326314182181347</v>
      </c>
    </row>
    <row r="15" customFormat="false" ht="15" hidden="false" customHeight="false" outlineLevel="0" collapsed="false">
      <c r="A15" s="29" t="n">
        <v>2040</v>
      </c>
      <c r="B15" s="30" t="n">
        <v>0</v>
      </c>
      <c r="C15" s="29" t="n">
        <v>1</v>
      </c>
      <c r="D15" s="31" t="n">
        <f aca="false">1/(1+Assumptions!$B$44)^(A15+0.5-2027.75)</f>
        <v>0.296649256528497</v>
      </c>
    </row>
    <row r="17" customFormat="false" ht="15" hidden="false" customHeight="false" outlineLevel="0" collapsed="false">
      <c r="A17" s="0" t="s">
        <v>199</v>
      </c>
      <c r="B17" s="23" t="n">
        <f aca="false">SUMPRODUCT(B5:B15,D5:D15)</f>
        <v>746.960013253481</v>
      </c>
    </row>
    <row r="18" customFormat="false" ht="15" hidden="false" customHeight="false" outlineLevel="0" collapsed="false">
      <c r="A18" s="0" t="s">
        <v>200</v>
      </c>
      <c r="B18" s="32" t="n">
        <f aca="false">SUMPRODUCT(C5:C15,D5:D15)</f>
        <v>3.39244770260809</v>
      </c>
    </row>
    <row r="19" customFormat="false" ht="15" hidden="false" customHeight="false" outlineLevel="0" collapsed="false">
      <c r="A19" s="0" t="s">
        <v>201</v>
      </c>
      <c r="B19" s="31" t="n">
        <f aca="false">1/(1+Assumptions!$B$44)^(Assumptions!$B$46-2027.75)</f>
        <v>0.931012444622223</v>
      </c>
    </row>
    <row r="20" customFormat="false" ht="15" hidden="false" customHeight="false" outlineLevel="0" collapsed="false">
      <c r="A20" s="0" t="s">
        <v>202</v>
      </c>
      <c r="B20" s="31" t="n">
        <f aca="false">(1-((1+Assumptions!$B$41)/(1+Assumptions!$B$43))^Assumptions!$B$42)/(Assumptions!$B$43-Assumptions!$B$41)</f>
        <v>14.9726978919957</v>
      </c>
    </row>
    <row r="21" customFormat="false" ht="15" hidden="false" customHeight="false" outlineLevel="0" collapsed="false">
      <c r="A21" s="0" t="s">
        <v>203</v>
      </c>
      <c r="B21" s="33" t="n">
        <f aca="false">SUM(C5:C15)</f>
        <v>8</v>
      </c>
    </row>
    <row r="23" customFormat="false" ht="15" hidden="false" customHeight="false" outlineLevel="0" collapsed="false">
      <c r="A23" s="9" t="s">
        <v>204</v>
      </c>
    </row>
    <row r="25" customFormat="false" ht="23.85" hidden="false" customHeight="false" outlineLevel="0" collapsed="false">
      <c r="A25" s="10" t="s">
        <v>205</v>
      </c>
      <c r="B25" s="11" t="s">
        <v>206</v>
      </c>
      <c r="C25" s="11" t="s">
        <v>207</v>
      </c>
      <c r="D25" s="11" t="s">
        <v>208</v>
      </c>
    </row>
    <row r="26" customFormat="false" ht="15" hidden="false" customHeight="false" outlineLevel="0" collapsed="false">
      <c r="A26" s="29" t="n">
        <v>1</v>
      </c>
      <c r="B26" s="34" t="n">
        <v>250</v>
      </c>
      <c r="C26" s="31" t="n">
        <f aca="false">1/(1+Assumptions!$B$44)^(A26-0.5)</f>
        <v>0.953462589245592</v>
      </c>
      <c r="D26" s="23" t="n">
        <f aca="false">B26*C26</f>
        <v>238.365647311398</v>
      </c>
    </row>
    <row r="27" customFormat="false" ht="15" hidden="false" customHeight="false" outlineLevel="0" collapsed="false">
      <c r="A27" s="29" t="n">
        <v>2</v>
      </c>
      <c r="B27" s="34" t="n">
        <v>250</v>
      </c>
      <c r="C27" s="31" t="n">
        <f aca="false">1/(1+Assumptions!$B$44)^(A27-0.5)</f>
        <v>0.866784172041447</v>
      </c>
      <c r="D27" s="23" t="n">
        <f aca="false">B27*C27</f>
        <v>216.696043010362</v>
      </c>
    </row>
    <row r="28" customFormat="false" ht="15" hidden="false" customHeight="false" outlineLevel="0" collapsed="false">
      <c r="A28" s="29" t="n">
        <v>3</v>
      </c>
      <c r="B28" s="34" t="n">
        <v>250</v>
      </c>
      <c r="C28" s="31" t="n">
        <f aca="false">1/(1+Assumptions!$B$44)^(A28-0.5)</f>
        <v>0.78798561094677</v>
      </c>
      <c r="D28" s="23" t="n">
        <f aca="false">B28*C28</f>
        <v>196.996402736693</v>
      </c>
    </row>
    <row r="29" customFormat="false" ht="15" hidden="false" customHeight="false" outlineLevel="0" collapsed="false">
      <c r="A29" s="29" t="n">
        <v>4</v>
      </c>
      <c r="B29" s="34" t="n">
        <v>250</v>
      </c>
      <c r="C29" s="31" t="n">
        <f aca="false">1/(1+Assumptions!$B$44)^(A29-0.5)</f>
        <v>0.716350555406155</v>
      </c>
      <c r="D29" s="23" t="n">
        <f aca="false">B29*C29</f>
        <v>179.087638851539</v>
      </c>
    </row>
    <row r="30" customFormat="false" ht="15" hidden="false" customHeight="false" outlineLevel="0" collapsed="false">
      <c r="A30" s="29" t="n">
        <v>5</v>
      </c>
      <c r="B30" s="34" t="n">
        <v>150</v>
      </c>
      <c r="C30" s="31" t="n">
        <f aca="false">1/(1+Assumptions!$B$44)^(A30-0.5)</f>
        <v>0.651227777641959</v>
      </c>
      <c r="D30" s="23" t="n">
        <f aca="false">B30*C30</f>
        <v>97.6841666462938</v>
      </c>
    </row>
    <row r="31" customFormat="false" ht="15" hidden="false" customHeight="false" outlineLevel="0" collapsed="false">
      <c r="A31" s="29" t="n">
        <v>6</v>
      </c>
      <c r="B31" s="34" t="n">
        <v>150</v>
      </c>
      <c r="C31" s="31" t="n">
        <f aca="false">1/(1+Assumptions!$B$44)^(A31-0.5)</f>
        <v>0.592025252401781</v>
      </c>
      <c r="D31" s="23" t="n">
        <f aca="false">B31*C31</f>
        <v>88.8037878602671</v>
      </c>
    </row>
    <row r="32" customFormat="false" ht="15" hidden="false" customHeight="false" outlineLevel="0" collapsed="false">
      <c r="A32" s="29" t="n">
        <v>7</v>
      </c>
      <c r="B32" s="34" t="n">
        <v>150</v>
      </c>
      <c r="C32" s="31" t="n">
        <f aca="false">1/(1+Assumptions!$B$44)^(A32-0.5)</f>
        <v>0.53820477491071</v>
      </c>
      <c r="D32" s="23" t="n">
        <f aca="false">B32*C32</f>
        <v>80.7307162366065</v>
      </c>
    </row>
    <row r="33" customFormat="false" ht="15" hidden="false" customHeight="false" outlineLevel="0" collapsed="false">
      <c r="A33" s="29" t="n">
        <v>8</v>
      </c>
      <c r="B33" s="34" t="n">
        <v>150</v>
      </c>
      <c r="C33" s="31" t="n">
        <f aca="false">1/(1+Assumptions!$B$44)^(A33-0.5)</f>
        <v>0.489277068100645</v>
      </c>
      <c r="D33" s="23" t="n">
        <f aca="false">B33*C33</f>
        <v>73.3915602150968</v>
      </c>
    </row>
    <row r="34" customFormat="false" ht="15" hidden="false" customHeight="false" outlineLevel="0" collapsed="false">
      <c r="A34" s="29" t="n">
        <v>9</v>
      </c>
      <c r="B34" s="34" t="n">
        <v>150</v>
      </c>
      <c r="C34" s="31" t="n">
        <f aca="false">1/(1+Assumptions!$B$44)^(A34-0.5)</f>
        <v>0.44479733463695</v>
      </c>
      <c r="D34" s="23" t="n">
        <f aca="false">B34*C34</f>
        <v>66.7196001955425</v>
      </c>
    </row>
    <row r="35" customFormat="false" ht="15" hidden="false" customHeight="false" outlineLevel="0" collapsed="false">
      <c r="A35" s="0" t="s">
        <v>209</v>
      </c>
      <c r="D35" s="35" t="n">
        <f aca="false">SUM(D26:D34)</f>
        <v>1238.4755630638</v>
      </c>
    </row>
    <row r="36" customFormat="false" ht="15" hidden="false" customHeight="false" outlineLevel="0" collapsed="false">
      <c r="A36" s="0" t="s">
        <v>210</v>
      </c>
      <c r="D36" s="35" t="n">
        <f aca="false">150*(C26+C27+C28)</f>
        <v>391.234855835072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10" min="7" style="0" width="14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60"/>
  </cols>
  <sheetData>
    <row r="1" customFormat="false" ht="15" hidden="false" customHeight="false" outlineLevel="0" collapsed="false">
      <c r="A1" s="1" t="s">
        <v>211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10" t="s">
        <v>212</v>
      </c>
      <c r="B4" s="11" t="s">
        <v>213</v>
      </c>
      <c r="C4" s="11" t="s">
        <v>214</v>
      </c>
      <c r="D4" s="11" t="s">
        <v>215</v>
      </c>
      <c r="E4" s="11" t="s">
        <v>216</v>
      </c>
      <c r="F4" s="11" t="s">
        <v>217</v>
      </c>
      <c r="G4" s="11" t="s">
        <v>218</v>
      </c>
      <c r="H4" s="11" t="s">
        <v>219</v>
      </c>
      <c r="I4" s="11" t="s">
        <v>220</v>
      </c>
      <c r="J4" s="11" t="s">
        <v>221</v>
      </c>
      <c r="K4" s="11" t="s">
        <v>222</v>
      </c>
      <c r="L4" s="11"/>
      <c r="M4" s="11" t="s">
        <v>223</v>
      </c>
    </row>
    <row r="5" customFormat="false" ht="23.85" hidden="false" customHeight="false" outlineLevel="0" collapsed="false">
      <c r="A5" s="3" t="s">
        <v>224</v>
      </c>
      <c r="B5" s="36" t="n">
        <v>95</v>
      </c>
      <c r="C5" s="36" t="n">
        <v>10000</v>
      </c>
      <c r="D5" s="37" t="n">
        <v>0</v>
      </c>
      <c r="E5" s="36" t="n">
        <v>0</v>
      </c>
      <c r="F5" s="37" t="n">
        <v>0.25</v>
      </c>
      <c r="G5" s="38" t="n">
        <f aca="false">((8760*Assumptions!$B$39*(B5-Assumptions!$B$40)/1000000)*Fleet!$B$20-C5/1000)</f>
        <v>-2.91731498917036</v>
      </c>
      <c r="H5" s="24" t="n">
        <f aca="false">IF(D5=0,0,D5*(((8760*Assumptions!$B$39*(B5-Assumptions!$B$40)/1000000)*Assumptions!$B$38*Fleet!$B$20-Assumptions!$B$45)*Fleet!$B$19+MAX(0,G5)*(Fleet!$B$17+E5*Fleet!$B$18)))</f>
        <v>0</v>
      </c>
      <c r="I5" s="39" t="n">
        <f aca="false">IF(D5=0,(Cash!$B$22-Fleet!$D$36)/Cash!$B$10,(D5*(((8760*Assumptions!$B$39*(B5-Assumptions!$B$40)/1000000)*Assumptions!$B$38*Fleet!$B$20-Assumptions!$B$45)*Fleet!$B$19+MAX(0,((8760*Assumptions!$B$39*(B5-Assumptions!$B$40)/1000000)*Fleet!$B$20-C5/1000))*(Fleet!$B$17+E5*Fleet!$B$18))+Cash!$B$22-Fleet!$D$35)/Cash!$B$10)</f>
        <v>9.87430365538171</v>
      </c>
      <c r="J5" s="40" t="n">
        <f aca="false">I5/Assumptions!$B$7-1</f>
        <v>-0.725485024871234</v>
      </c>
      <c r="K5" s="41" t="n">
        <f aca="false">IF(D5=0,0,(Assumptions!$B$38+SUM(Fleet!$B$5:$B$15)+E5*Fleet!$B$21)/1000)</f>
        <v>0</v>
      </c>
      <c r="M5" s="5" t="s">
        <v>225</v>
      </c>
    </row>
    <row r="6" customFormat="false" ht="23.85" hidden="false" customHeight="false" outlineLevel="0" collapsed="false">
      <c r="A6" s="3" t="s">
        <v>226</v>
      </c>
      <c r="B6" s="36" t="n">
        <v>110</v>
      </c>
      <c r="C6" s="36" t="n">
        <v>7500</v>
      </c>
      <c r="D6" s="37" t="n">
        <v>0.6</v>
      </c>
      <c r="E6" s="36" t="n">
        <v>300</v>
      </c>
      <c r="F6" s="37" t="n">
        <v>0.5</v>
      </c>
      <c r="G6" s="38" t="n">
        <f aca="false">((8760*Assumptions!$B$39*(B6-Assumptions!$B$40)/1000000)*Fleet!$B$20-C6/1000)</f>
        <v>1.35335626353705</v>
      </c>
      <c r="H6" s="24" t="n">
        <f aca="false">IF(D6=0,0,D6*(((8760*Assumptions!$B$39*(B6-Assumptions!$B$40)/1000000)*Assumptions!$B$38*Fleet!$B$20-Assumptions!$B$45)*Fleet!$B$19+MAX(0,G6)*(Fleet!$B$17+E6*Fleet!$B$18)))</f>
        <v>1580.42940189925</v>
      </c>
      <c r="I6" s="39" t="n">
        <f aca="false">IF(D6=0,(Cash!$B$22-Fleet!$D$36)/Cash!$B$10,(D6*(((8760*Assumptions!$B$39*(B6-Assumptions!$B$40)/1000000)*Assumptions!$B$38*Fleet!$B$20-Assumptions!$B$45)*Fleet!$B$19+MAX(0,((8760*Assumptions!$B$39*(B6-Assumptions!$B$40)/1000000)*Fleet!$B$20-C6/1000))*(Fleet!$B$17+E6*Fleet!$B$18))+Cash!$B$22-Fleet!$D$35)/Cash!$B$10)</f>
        <v>13.508178492179</v>
      </c>
      <c r="J6" s="40" t="n">
        <f aca="false">I6/Assumptions!$B$7-1</f>
        <v>-0.62445986955299</v>
      </c>
      <c r="K6" s="41" t="n">
        <f aca="false">IF(D6=0,0,(Assumptions!$B$38+SUM(Fleet!$B$5:$B$15)+E6*Fleet!$B$21)/1000)</f>
        <v>3.675</v>
      </c>
      <c r="M6" s="5" t="s">
        <v>227</v>
      </c>
    </row>
    <row r="7" customFormat="false" ht="23.85" hidden="false" customHeight="false" outlineLevel="0" collapsed="false">
      <c r="A7" s="3" t="s">
        <v>228</v>
      </c>
      <c r="B7" s="36" t="n">
        <v>125</v>
      </c>
      <c r="C7" s="36" t="n">
        <v>6000</v>
      </c>
      <c r="D7" s="37" t="n">
        <v>0.8</v>
      </c>
      <c r="E7" s="36" t="n">
        <v>900</v>
      </c>
      <c r="F7" s="37" t="n">
        <v>0.25</v>
      </c>
      <c r="G7" s="38" t="n">
        <f aca="false">((8760*Assumptions!$B$39*(B7-Assumptions!$B$40)/1000000)*Fleet!$B$20-C7/1000)</f>
        <v>4.62402751624446</v>
      </c>
      <c r="H7" s="24" t="n">
        <f aca="false">IF(D7=0,0,D7*(((8760*Assumptions!$B$39*(B7-Assumptions!$B$40)/1000000)*Assumptions!$B$38*Fleet!$B$20-Assumptions!$B$45)*Fleet!$B$19+MAX(0,G7)*(Fleet!$B$17+E7*Fleet!$B$18)))</f>
        <v>14353.1885488352</v>
      </c>
      <c r="I7" s="39" t="n">
        <f aca="false">IF(D7=0,(Cash!$B$22-Fleet!$D$36)/Cash!$B$10,(D7*(((8760*Assumptions!$B$39*(B7-Assumptions!$B$40)/1000000)*Assumptions!$B$38*Fleet!$B$20-Assumptions!$B$45)*Fleet!$B$19+MAX(0,((8760*Assumptions!$B$39*(B7-Assumptions!$B$40)/1000000)*Fleet!$B$20-C7/1000))*(Fleet!$B$17+E7*Fleet!$B$18))+Cash!$B$22-Fleet!$D$35)/Cash!$B$10)</f>
        <v>76.8133118062981</v>
      </c>
      <c r="J7" s="40" t="n">
        <f aca="false">I7/Assumptions!$B$7-1</f>
        <v>1.13548267462602</v>
      </c>
      <c r="K7" s="41" t="n">
        <f aca="false">IF(D7=0,0,(Assumptions!$B$38+SUM(Fleet!$B$5:$B$15)+E7*Fleet!$B$21)/1000)</f>
        <v>8.475</v>
      </c>
      <c r="M7" s="5" t="s">
        <v>229</v>
      </c>
    </row>
    <row r="9" customFormat="false" ht="15" hidden="false" customHeight="false" outlineLevel="0" collapsed="false">
      <c r="A9" s="3" t="s">
        <v>230</v>
      </c>
      <c r="I9" s="42" t="n">
        <f aca="false">SUMPRODUCT(F5:F7,I5:I7)</f>
        <v>28.4259931115094</v>
      </c>
      <c r="J9" s="40" t="n">
        <f aca="false">I9/Assumptions!$B$7-1</f>
        <v>-0.209730522337797</v>
      </c>
    </row>
    <row r="11" customFormat="false" ht="15" hidden="false" customHeight="false" outlineLevel="0" collapsed="false">
      <c r="A11" s="9" t="s">
        <v>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232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B3" s="36" t="n">
        <v>95</v>
      </c>
      <c r="C3" s="36" t="n">
        <v>110</v>
      </c>
      <c r="D3" s="36" t="n">
        <v>125</v>
      </c>
    </row>
    <row r="4" customFormat="false" ht="23.85" hidden="false" customHeight="false" outlineLevel="0" collapsed="false">
      <c r="A4" s="10" t="s">
        <v>233</v>
      </c>
      <c r="B4" s="11" t="s">
        <v>234</v>
      </c>
      <c r="C4" s="11" t="s">
        <v>235</v>
      </c>
      <c r="D4" s="11" t="s">
        <v>236</v>
      </c>
    </row>
    <row r="5" customFormat="false" ht="15" hidden="false" customHeight="false" outlineLevel="0" collapsed="false">
      <c r="A5" s="36" t="n">
        <v>6000</v>
      </c>
      <c r="B5" s="6" t="n">
        <f aca="false">IF(Scenarios!$D$6=0,(Cash!$B$22-Fleet!$D$36)/Cash!$B$10,(Scenarios!$D$6*(((8760*Assumptions!$B$39*(B$3-Assumptions!$B$40)/1000000)*Assumptions!$B$38*Fleet!$B$20-Assumptions!$B$45)*Fleet!$B$19+MAX(0,((8760*Assumptions!$B$39*(B$3-Assumptions!$B$40)/1000000)*Fleet!$B$20-$A5/1000))*(Fleet!$B$17+Scenarios!$E$6*Fleet!$B$18))+Cash!$B$22-Fleet!$D$35)/Cash!$B$10)</f>
        <v>11.7200858689822</v>
      </c>
      <c r="C5" s="6" t="n">
        <f aca="false">IF(Scenarios!$D$6=0,(Cash!$B$22-Fleet!$D$36)/Cash!$B$10,(Scenarios!$D$6*(((8760*Assumptions!$B$39*(C$3-Assumptions!$B$40)/1000000)*Assumptions!$B$38*Fleet!$B$20-Assumptions!$B$45)*Fleet!$B$19+MAX(0,((8760*Assumptions!$B$39*(C$3-Assumptions!$B$40)/1000000)*Fleet!$B$20-$A5/1000))*(Fleet!$B$17+Scenarios!$E$6*Fleet!$B$18))+Cash!$B$22-Fleet!$D$35)/Cash!$B$10)</f>
        <v>21.3798362398086</v>
      </c>
      <c r="D5" s="6" t="n">
        <f aca="false">IF(Scenarios!$D$6=0,(Cash!$B$22-Fleet!$D$36)/Cash!$B$10,(Scenarios!$D$6*(((8760*Assumptions!$B$39*(D$3-Assumptions!$B$40)/1000000)*Assumptions!$B$38*Fleet!$B$20-Assumptions!$B$45)*Fleet!$B$19+MAX(0,((8760*Assumptions!$B$39*(D$3-Assumptions!$B$40)/1000000)*Fleet!$B$20-$A5/1000))*(Fleet!$B$17+Scenarios!$E$6*Fleet!$B$18))+Cash!$B$22-Fleet!$D$35)/Cash!$B$10)</f>
        <v>31.039586610635</v>
      </c>
    </row>
    <row r="6" customFormat="false" ht="15" hidden="false" customHeight="false" outlineLevel="0" collapsed="false">
      <c r="A6" s="36" t="n">
        <v>7500</v>
      </c>
      <c r="B6" s="6" t="n">
        <f aca="false">IF(Scenarios!$D$6=0,(Cash!$B$22-Fleet!$D$36)/Cash!$B$10,(Scenarios!$D$6*(((8760*Assumptions!$B$39*(B$3-Assumptions!$B$40)/1000000)*Assumptions!$B$38*Fleet!$B$20-Assumptions!$B$45)*Fleet!$B$19+MAX(0,((8760*Assumptions!$B$39*(B$3-Assumptions!$B$40)/1000000)*Fleet!$B$20-$A6/1000))*(Fleet!$B$17+Scenarios!$E$6*Fleet!$B$18))+Cash!$B$22-Fleet!$D$35)/Cash!$B$10)</f>
        <v>6.03840196648912</v>
      </c>
      <c r="C6" s="43" t="n">
        <f aca="false">IF(Scenarios!$D$6=0,(Cash!$B$22-Fleet!$D$36)/Cash!$B$10,(Scenarios!$D$6*(((8760*Assumptions!$B$39*(C$3-Assumptions!$B$40)/1000000)*Assumptions!$B$38*Fleet!$B$20-Assumptions!$B$45)*Fleet!$B$19+MAX(0,((8760*Assumptions!$B$39*(C$3-Assumptions!$B$40)/1000000)*Fleet!$B$20-$A6/1000))*(Fleet!$B$17+Scenarios!$E$6*Fleet!$B$18))+Cash!$B$22-Fleet!$D$35)/Cash!$B$10)</f>
        <v>13.508178492179</v>
      </c>
      <c r="D6" s="6" t="n">
        <f aca="false">IF(Scenarios!$D$6=0,(Cash!$B$22-Fleet!$D$36)/Cash!$B$10,(Scenarios!$D$6*(((8760*Assumptions!$B$39*(D$3-Assumptions!$B$40)/1000000)*Assumptions!$B$38*Fleet!$B$20-Assumptions!$B$45)*Fleet!$B$19+MAX(0,((8760*Assumptions!$B$39*(D$3-Assumptions!$B$40)/1000000)*Fleet!$B$20-$A6/1000))*(Fleet!$B$17+Scenarios!$E$6*Fleet!$B$18))+Cash!$B$22-Fleet!$D$35)/Cash!$B$10)</f>
        <v>23.1679288630053</v>
      </c>
    </row>
    <row r="7" customFormat="false" ht="15" hidden="false" customHeight="false" outlineLevel="0" collapsed="false">
      <c r="A7" s="36" t="n">
        <v>10000</v>
      </c>
      <c r="B7" s="6" t="n">
        <f aca="false">IF(Scenarios!$D$6=0,(Cash!$B$22-Fleet!$D$36)/Cash!$B$10,(Scenarios!$D$6*(((8760*Assumptions!$B$39*(B$3-Assumptions!$B$40)/1000000)*Assumptions!$B$38*Fleet!$B$20-Assumptions!$B$45)*Fleet!$B$19+MAX(0,((8760*Assumptions!$B$39*(B$3-Assumptions!$B$40)/1000000)*Fleet!$B$20-$A7/1000))*(Fleet!$B$17+Scenarios!$E$6*Fleet!$B$18))+Cash!$B$22-Fleet!$D$35)/Cash!$B$10)</f>
        <v>6.03840196648912</v>
      </c>
      <c r="C7" s="6" t="n">
        <f aca="false">IF(Scenarios!$D$6=0,(Cash!$B$22-Fleet!$D$36)/Cash!$B$10,(Scenarios!$D$6*(((8760*Assumptions!$B$39*(C$3-Assumptions!$B$40)/1000000)*Assumptions!$B$38*Fleet!$B$20-Assumptions!$B$45)*Fleet!$B$19+MAX(0,((8760*Assumptions!$B$39*(C$3-Assumptions!$B$40)/1000000)*Fleet!$B$20-$A7/1000))*(Fleet!$B$17+Scenarios!$E$6*Fleet!$B$18))+Cash!$B$22-Fleet!$D$35)/Cash!$B$10)</f>
        <v>6.4060736140626</v>
      </c>
      <c r="D7" s="6" t="n">
        <f aca="false">IF(Scenarios!$D$6=0,(Cash!$B$22-Fleet!$D$36)/Cash!$B$10,(Scenarios!$D$6*(((8760*Assumptions!$B$39*(D$3-Assumptions!$B$40)/1000000)*Assumptions!$B$38*Fleet!$B$20-Assumptions!$B$45)*Fleet!$B$19+MAX(0,((8760*Assumptions!$B$39*(D$3-Assumptions!$B$40)/1000000)*Fleet!$B$20-$A7/1000))*(Fleet!$B$17+Scenarios!$E$6*Fleet!$B$18))+Cash!$B$22-Fleet!$D$35)/Cash!$B$10)</f>
        <v>10.0484992836226</v>
      </c>
    </row>
    <row r="9" customFormat="false" ht="15" hidden="false" customHeight="false" outlineLevel="0" collapsed="false">
      <c r="A9" s="0" t="s">
        <v>237</v>
      </c>
      <c r="B9" s="44" t="n">
        <f aca="false">COUNTIF(B5:D7,"&gt;"&amp;Assumptions!$B$7)</f>
        <v>0</v>
      </c>
    </row>
    <row r="10" customFormat="false" ht="15" hidden="false" customHeight="false" outlineLevel="0" collapsed="false">
      <c r="A10" s="0" t="s">
        <v>238</v>
      </c>
      <c r="B10" s="22" t="n">
        <f aca="false">MAX(B5:D7)</f>
        <v>31.039586610635</v>
      </c>
    </row>
    <row r="11" customFormat="false" ht="15" hidden="false" customHeight="false" outlineLevel="0" collapsed="false">
      <c r="A11" s="0" t="s">
        <v>239</v>
      </c>
      <c r="B11" s="22" t="n">
        <f aca="false">MIN(B5:D7)</f>
        <v>6.03840196648912</v>
      </c>
    </row>
    <row r="13" customFormat="false" ht="15" hidden="false" customHeight="false" outlineLevel="0" collapsed="false">
      <c r="A13" s="9" t="s">
        <v>240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1" t="s">
        <v>241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10" t="s">
        <v>126</v>
      </c>
      <c r="B4" s="11" t="s">
        <v>44</v>
      </c>
      <c r="C4" s="11" t="s">
        <v>242</v>
      </c>
    </row>
    <row r="5" customFormat="false" ht="15" hidden="false" customHeight="false" outlineLevel="0" collapsed="false">
      <c r="A5" s="0" t="s">
        <v>243</v>
      </c>
      <c r="B5" s="45" t="n">
        <f aca="false">Scenarios!I6</f>
        <v>13.508178492179</v>
      </c>
      <c r="C5" s="5"/>
    </row>
    <row r="6" customFormat="false" ht="15" hidden="false" customHeight="false" outlineLevel="0" collapsed="false">
      <c r="A6" s="0" t="s">
        <v>244</v>
      </c>
      <c r="B6" s="46" t="n">
        <f aca="false">B5/Assumptions!$B$7-1</f>
        <v>-0.62445986955299</v>
      </c>
      <c r="C6" s="5"/>
    </row>
    <row r="7" customFormat="false" ht="15" hidden="false" customHeight="false" outlineLevel="0" collapsed="false">
      <c r="A7" s="0" t="s">
        <v>245</v>
      </c>
      <c r="B7" s="45" t="n">
        <f aca="false">Scenarios!I9</f>
        <v>28.4259931115094</v>
      </c>
      <c r="C7" s="5"/>
    </row>
    <row r="8" customFormat="false" ht="15" hidden="false" customHeight="false" outlineLevel="0" collapsed="false">
      <c r="A8" s="0" t="s">
        <v>246</v>
      </c>
      <c r="B8" s="46" t="n">
        <f aca="false">B7/Assumptions!$B$7-1</f>
        <v>-0.209730522337797</v>
      </c>
      <c r="C8" s="5"/>
    </row>
    <row r="9" customFormat="false" ht="23.85" hidden="false" customHeight="false" outlineLevel="0" collapsed="false">
      <c r="A9" s="0" t="s">
        <v>247</v>
      </c>
      <c r="B9" s="47" t="str">
        <f aca="false">IF(B6&gt;=0.15,"LONG",IF(B6&lt;=-0.25,"SHORT","NO CALL"))</f>
        <v>SHORT</v>
      </c>
      <c r="C9" s="5" t="s">
        <v>248</v>
      </c>
    </row>
    <row r="10" customFormat="false" ht="15" hidden="false" customHeight="false" outlineLevel="0" collapsed="false">
      <c r="A10" s="0" t="s">
        <v>13</v>
      </c>
      <c r="B10" s="4" t="s">
        <v>14</v>
      </c>
      <c r="C10" s="5" t="s">
        <v>15</v>
      </c>
    </row>
    <row r="11" customFormat="false" ht="15" hidden="false" customHeight="false" outlineLevel="0" collapsed="false">
      <c r="A11" s="0" t="s">
        <v>249</v>
      </c>
      <c r="B11" s="31" t="n">
        <f aca="false">(8760*Assumptions!$B$39*(Scenarios!$B$6-Assumptions!$B$40)/1000000)</f>
        <v>0.5913</v>
      </c>
      <c r="C11" s="5"/>
    </row>
    <row r="12" customFormat="false" ht="15" hidden="false" customHeight="false" outlineLevel="0" collapsed="false">
      <c r="A12" s="0" t="s">
        <v>250</v>
      </c>
      <c r="B12" s="38" t="n">
        <f aca="false">((8760*Assumptions!$B$39*(Scenarios!$B$6-Assumptions!$B$40)/1000000)*Fleet!$B$20-Scenarios!$C$6/1000)</f>
        <v>1.35335626353705</v>
      </c>
      <c r="C12" s="5"/>
    </row>
    <row r="13" customFormat="false" ht="15" hidden="false" customHeight="false" outlineLevel="0" collapsed="false">
      <c r="A13" s="0" t="s">
        <v>251</v>
      </c>
      <c r="B13" s="24" t="n">
        <f aca="false">(8760*Assumptions!$B$39*(Scenarios!$B$6-Assumptions!$B$40)/1000000)*Fleet!$B$20*1000</f>
        <v>8853.35626353705</v>
      </c>
      <c r="C13" s="5" t="s">
        <v>252</v>
      </c>
    </row>
    <row r="14" customFormat="false" ht="15" hidden="false" customHeight="false" outlineLevel="0" collapsed="false">
      <c r="A14" s="0" t="s">
        <v>253</v>
      </c>
      <c r="B14" s="24" t="n">
        <f aca="false">(Scenarios!$C$6/1000/((1-(1+Assumptions!$B$43)^-Assumptions!$B$42)/Assumptions!$B$43))/(8760*Assumptions!$B$39/1000000)+Assumptions!$B$40</f>
        <v>114.775648307254</v>
      </c>
      <c r="C14" s="5" t="s">
        <v>254</v>
      </c>
    </row>
    <row r="15" customFormat="false" ht="15" hidden="false" customHeight="false" outlineLevel="0" collapsed="false">
      <c r="A15" s="0" t="s">
        <v>255</v>
      </c>
      <c r="B15" s="24" t="n">
        <f aca="false">Assumptions!$B$7*Cash!$B$10-Cash!$B$22+Fleet!$D$35</f>
        <v>6112.4384365738</v>
      </c>
      <c r="C15" s="5"/>
    </row>
    <row r="16" customFormat="false" ht="15" hidden="false" customHeight="false" outlineLevel="0" collapsed="false">
      <c r="A16" s="0" t="s">
        <v>256</v>
      </c>
      <c r="B16" s="24" t="n">
        <f aca="false">Scenarios!H6</f>
        <v>1580.42940189925</v>
      </c>
      <c r="C16" s="5"/>
    </row>
    <row r="17" customFormat="false" ht="15" hidden="false" customHeight="false" outlineLevel="0" collapsed="false">
      <c r="A17" s="0" t="s">
        <v>257</v>
      </c>
      <c r="B17" s="24" t="n">
        <f aca="false">((B15/Scenarios!$D$6-((8760*Assumptions!$B$39*(Scenarios!$B$6-Assumptions!$B$40)/1000000)*Assumptions!$B$38*Fleet!$B$20-Assumptions!$B$45)*Fleet!$B$19)/((8760*Assumptions!$B$39*(Scenarios!$B$6-Assumptions!$B$40)/1000000)*Fleet!$B$20-Scenarios!$C$6/1000)-Fleet!$B$17)/Fleet!$B$18</f>
        <v>1945.18301794724</v>
      </c>
      <c r="C17" s="5" t="s">
        <v>258</v>
      </c>
    </row>
    <row r="18" customFormat="false" ht="15" hidden="false" customHeight="false" outlineLevel="0" collapsed="false">
      <c r="A18" s="0" t="s">
        <v>259</v>
      </c>
      <c r="B18" s="41" t="n">
        <f aca="false">(Assumptions!$B$38+SUM(Fleet!$B$5:$B$15)+B17*Fleet!$B$21)/1000</f>
        <v>16.836464143578</v>
      </c>
      <c r="C18" s="5" t="s">
        <v>260</v>
      </c>
    </row>
    <row r="19" customFormat="false" ht="15" hidden="false" customHeight="false" outlineLevel="0" collapsed="false">
      <c r="A19" s="0" t="s">
        <v>261</v>
      </c>
      <c r="B19" s="24" t="n">
        <f aca="false">((8760*Assumptions!$B$39*(Scenarios!$B$6-Assumptions!$B$40)/1000000)*Fleet!$B$20-(B15/Scenarios!$D$6-((8760*Assumptions!$B$39*(Scenarios!$B$6-Assumptions!$B$40)/1000000)*Assumptions!$B$38*Fleet!$B$20-Assumptions!$B$45)*Fleet!$B$19)/(Fleet!$B$17+Scenarios!$E$6*Fleet!$B$18))*1000</f>
        <v>3219.74121056302</v>
      </c>
      <c r="C19" s="5"/>
    </row>
    <row r="20" customFormat="false" ht="15" hidden="false" customHeight="false" outlineLevel="0" collapsed="false">
      <c r="A20" s="0" t="s">
        <v>262</v>
      </c>
      <c r="B20" s="24" t="n">
        <f aca="false">Cash!B24</f>
        <v>6918.81327753</v>
      </c>
      <c r="C20" s="5"/>
    </row>
    <row r="21" customFormat="false" ht="15" hidden="false" customHeight="false" outlineLevel="0" collapsed="false">
      <c r="A21" s="0" t="s">
        <v>157</v>
      </c>
      <c r="B21" s="24" t="n">
        <f aca="false">Cash!B25</f>
        <v>3796.48971253</v>
      </c>
      <c r="C21" s="5"/>
    </row>
    <row r="22" customFormat="false" ht="15" hidden="false" customHeight="false" outlineLevel="0" collapsed="false">
      <c r="A22" s="0" t="s">
        <v>263</v>
      </c>
      <c r="B22" s="46" t="n">
        <f aca="false">1-Assumptions!$B$7/Assumptions!$B$9</f>
        <v>0.793442058114161</v>
      </c>
      <c r="C22" s="5"/>
    </row>
    <row r="23" customFormat="false" ht="15" hidden="false" customHeight="false" outlineLevel="0" collapsed="false">
      <c r="A23" s="0" t="s">
        <v>264</v>
      </c>
      <c r="B23" s="22" t="n">
        <f aca="false">B5</f>
        <v>13.508178492179</v>
      </c>
      <c r="C23" s="5"/>
    </row>
    <row r="24" customFormat="false" ht="15" hidden="false" customHeight="false" outlineLevel="0" collapsed="false">
      <c r="A24" s="0" t="s">
        <v>265</v>
      </c>
      <c r="B24" s="7" t="n">
        <v>60</v>
      </c>
      <c r="C24" s="5" t="s">
        <v>266</v>
      </c>
    </row>
    <row r="25" customFormat="false" ht="15" hidden="false" customHeight="false" outlineLevel="0" collapsed="false">
      <c r="A25" s="0" t="s">
        <v>267</v>
      </c>
      <c r="B25" s="46" t="n">
        <f aca="false">Assumptions!$B$11/Assumptions!$B$7-1</f>
        <v>1.10675562969141</v>
      </c>
      <c r="C25" s="5"/>
    </row>
    <row r="26" customFormat="false" ht="15" hidden="false" customHeight="false" outlineLevel="0" collapsed="false">
      <c r="A26" s="0" t="s">
        <v>268</v>
      </c>
      <c r="B26" s="25" t="n">
        <f aca="false">20.9/1.2*1000</f>
        <v>17416.6666666667</v>
      </c>
      <c r="C26" s="5" t="s">
        <v>269</v>
      </c>
    </row>
    <row r="27" customFormat="false" ht="15" hidden="false" customHeight="false" outlineLevel="0" collapsed="false">
      <c r="A27" s="0" t="s">
        <v>270</v>
      </c>
      <c r="B27" s="25" t="n">
        <f aca="false">7.7/0.3*1000</f>
        <v>25666.6666666667</v>
      </c>
      <c r="C27" s="5" t="s">
        <v>271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6" min="5" style="0" width="13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70"/>
  </cols>
  <sheetData>
    <row r="1" customFormat="false" ht="15" hidden="false" customHeight="false" outlineLevel="0" collapsed="false">
      <c r="A1" s="1" t="s">
        <v>272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10" t="s">
        <v>2</v>
      </c>
      <c r="B4" s="11" t="s">
        <v>273</v>
      </c>
      <c r="C4" s="11" t="s">
        <v>274</v>
      </c>
      <c r="D4" s="11" t="s">
        <v>275</v>
      </c>
      <c r="E4" s="11" t="s">
        <v>276</v>
      </c>
      <c r="F4" s="11" t="s">
        <v>277</v>
      </c>
      <c r="G4" s="11" t="s">
        <v>278</v>
      </c>
      <c r="H4" s="11" t="s">
        <v>279</v>
      </c>
      <c r="I4" s="11" t="s">
        <v>280</v>
      </c>
    </row>
    <row r="5" customFormat="false" ht="15" hidden="false" customHeight="false" outlineLevel="0" collapsed="false">
      <c r="A5" s="0" t="s">
        <v>281</v>
      </c>
      <c r="B5" s="0" t="s">
        <v>282</v>
      </c>
      <c r="C5" s="6" t="n">
        <f aca="false">Assumptions!$B$7</f>
        <v>35.97</v>
      </c>
      <c r="D5" s="21" t="n">
        <f aca="false">Cash!B9</f>
        <v>192.349549</v>
      </c>
      <c r="E5" s="24" t="n">
        <f aca="false">Cash!B19</f>
        <v>3122.323565</v>
      </c>
      <c r="F5" s="25" t="n">
        <f aca="false">C5*D5-E5</f>
        <v>3796.48971253</v>
      </c>
      <c r="G5" s="48" t="n">
        <v>13.2</v>
      </c>
      <c r="H5" s="49" t="n">
        <f aca="false">F5/G5/1000</f>
        <v>0.287612857009849</v>
      </c>
      <c r="I5" s="5" t="s">
        <v>283</v>
      </c>
    </row>
    <row r="6" customFormat="false" ht="15" hidden="false" customHeight="false" outlineLevel="0" collapsed="false">
      <c r="A6" s="0" t="s">
        <v>284</v>
      </c>
      <c r="B6" s="0" t="s">
        <v>285</v>
      </c>
      <c r="C6" s="7" t="n">
        <v>14.41</v>
      </c>
      <c r="D6" s="28" t="n">
        <v>406.37</v>
      </c>
      <c r="E6" s="30" t="n">
        <v>1610</v>
      </c>
      <c r="F6" s="25" t="n">
        <f aca="false">C6*D6-E6</f>
        <v>4245.7917</v>
      </c>
      <c r="G6" s="48" t="n">
        <v>5</v>
      </c>
      <c r="H6" s="49" t="n">
        <f aca="false">F6/G6/1000</f>
        <v>0.84915834</v>
      </c>
      <c r="I6" s="5" t="s">
        <v>286</v>
      </c>
    </row>
    <row r="7" customFormat="false" ht="23.85" hidden="false" customHeight="false" outlineLevel="0" collapsed="false">
      <c r="A7" s="0" t="s">
        <v>287</v>
      </c>
      <c r="B7" s="0" t="s">
        <v>288</v>
      </c>
      <c r="C7" s="7" t="n">
        <v>7.68</v>
      </c>
      <c r="D7" s="28" t="n">
        <v>429.72</v>
      </c>
      <c r="E7" s="30" t="n">
        <v>1070</v>
      </c>
      <c r="F7" s="25" t="n">
        <f aca="false">C7*D7-E7</f>
        <v>2230.2496</v>
      </c>
      <c r="G7" s="48" t="n">
        <v>6</v>
      </c>
      <c r="H7" s="49" t="n">
        <f aca="false">F7/G7/1000</f>
        <v>0.371708266666667</v>
      </c>
      <c r="I7" s="5" t="s">
        <v>289</v>
      </c>
    </row>
    <row r="8" customFormat="false" ht="15" hidden="false" customHeight="false" outlineLevel="0" collapsed="false">
      <c r="A8" s="0" t="s">
        <v>290</v>
      </c>
      <c r="B8" s="0" t="s">
        <v>291</v>
      </c>
      <c r="C8" s="7" t="n">
        <v>15.51</v>
      </c>
      <c r="D8" s="28" t="n">
        <v>53.7</v>
      </c>
      <c r="E8" s="30" t="n">
        <v>579</v>
      </c>
      <c r="F8" s="25" t="n">
        <f aca="false">C8*D8-E8</f>
        <v>253.887</v>
      </c>
      <c r="G8" s="0" t="s">
        <v>292</v>
      </c>
      <c r="H8" s="0" t="s">
        <v>292</v>
      </c>
      <c r="I8" s="5" t="s">
        <v>293</v>
      </c>
    </row>
    <row r="10" customFormat="false" ht="15" hidden="false" customHeight="false" outlineLevel="0" collapsed="false">
      <c r="A10" s="9" t="s">
        <v>294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0"/>
  </cols>
  <sheetData>
    <row r="1" customFormat="false" ht="15" hidden="false" customHeight="false" outlineLevel="0" collapsed="false">
      <c r="A1" s="1" t="s">
        <v>295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5" t="s">
        <v>296</v>
      </c>
    </row>
    <row r="5" customFormat="false" ht="15" hidden="false" customHeight="false" outlineLevel="0" collapsed="false">
      <c r="A5" s="5" t="s">
        <v>297</v>
      </c>
    </row>
    <row r="6" customFormat="false" ht="15" hidden="false" customHeight="false" outlineLevel="0" collapsed="false">
      <c r="A6" s="5" t="s">
        <v>298</v>
      </c>
    </row>
    <row r="7" customFormat="false" ht="23.85" hidden="false" customHeight="false" outlineLevel="0" collapsed="false">
      <c r="A7" s="5" t="s">
        <v>299</v>
      </c>
    </row>
    <row r="8" customFormat="false" ht="15" hidden="false" customHeight="false" outlineLevel="0" collapsed="false">
      <c r="A8" s="5" t="s">
        <v>300</v>
      </c>
    </row>
    <row r="9" customFormat="false" ht="15" hidden="false" customHeight="false" outlineLevel="0" collapsed="false">
      <c r="A9" s="5" t="s">
        <v>301</v>
      </c>
    </row>
    <row r="10" customFormat="false" ht="15" hidden="false" customHeight="false" outlineLevel="0" collapsed="false">
      <c r="A10" s="5" t="s">
        <v>302</v>
      </c>
    </row>
    <row r="11" customFormat="false" ht="15" hidden="false" customHeight="false" outlineLevel="0" collapsed="false">
      <c r="A11" s="5" t="s">
        <v>303</v>
      </c>
    </row>
    <row r="12" customFormat="false" ht="15" hidden="false" customHeight="false" outlineLevel="0" collapsed="false">
      <c r="A12" s="5" t="s">
        <v>304</v>
      </c>
    </row>
    <row r="13" customFormat="false" ht="15" hidden="false" customHeight="false" outlineLevel="0" collapsed="false">
      <c r="A13" s="5" t="s">
        <v>305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2026-10-06T17:11:02Z</dcterms:created>
  <dc:creator>openpyxl</dc:creator>
  <dc:description/>
  <dc:language>en-GB</dc:language>
  <cp:lastModifiedBy/>
  <dcterms:modified xsi:type="dcterms:W3CDTF">2026-10-06T17:11:02Z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