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Inputs" sheetId="2" state="visible" r:id="rId4"/>
    <sheet name="Quarterly" sheetId="3" state="visible" r:id="rId5"/>
    <sheet name="ARR_Recon" sheetId="4" state="visible" r:id="rId6"/>
    <sheet name="UnitEcon" sheetId="5" state="visible" r:id="rId7"/>
    <sheet name="CapStructure" sheetId="6" state="visible" r:id="rId8"/>
    <sheet name="Valuation" sheetId="7" state="visible" r:id="rId9"/>
    <sheet name="Scenarios" sheetId="8" state="visible" r:id="rId10"/>
    <sheet name="Sensitivity" sheetId="9" state="visible" r:id="rId11"/>
    <sheet name="Sourc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<sst xmlns="http://schemas.openxmlformats.org/spreadsheetml/2006/main" count="445" uniqueCount="365">
  <si>
    <t xml:space="preserve">NEBIUS GROUP N.V. (Nasdaq: NBIS)  INITIATION MODEL, 6 OCTOBER 2026</t>
  </si>
  <si>
    <t xml:space="preserve">Analyst</t>
  </si>
  <si>
    <t xml:space="preserve">Tommy Lau</t>
  </si>
  <si>
    <t xml:space="preserve">Call</t>
  </si>
  <si>
    <t xml:space="preserve">INITIATE AT NO CALL (no position at this price). Conviction: Medium. Horizon: 12 months, to October 2027.</t>
  </si>
  <si>
    <t xml:space="preserve">Reference price</t>
  </si>
  <si>
    <t xml:space="preserve">US$232.57, Nasdaq close 5 October 2026</t>
  </si>
  <si>
    <t xml:space="preserve">Target price</t>
  </si>
  <si>
    <t xml:space="preserve">None. The note states what would turn it into a call.</t>
  </si>
  <si>
    <t xml:space="preserve">Re-look</t>
  </si>
  <si>
    <t xml:space="preserve">A price below about US$185, or Q4 2026 results (early 2027) showing at least 800 MW connected, year-end ARR inside US$7 to 9bn and new deals still at US$20m per MW or more.</t>
  </si>
  <si>
    <t xml:space="preserve">Wrong if</t>
  </si>
  <si>
    <t xml:space="preserve">Connected power at end 2026 below 800 MW, or year-end ARR below US$7bn, or prepayments in fewer than half of new deals.</t>
  </si>
  <si>
    <t xml:space="preserve">Companion note</t>
  </si>
  <si>
    <t xml:space="preserve">2026-10-06_Nebius_Initiation.pdf</t>
  </si>
  <si>
    <t xml:space="preserve">Published pitch</t>
  </si>
  <si>
    <t xml:space="preserve">https://thephysicallayer.fyi/research/</t>
  </si>
  <si>
    <t xml:space="preserve">Journal piece</t>
  </si>
  <si>
    <t xml:space="preserve">https://thephysicallayer.fyi/journal/nebius-paid-for-what-is-switched-on/</t>
  </si>
  <si>
    <t xml:space="preserve">Colour key</t>
  </si>
  <si>
    <t xml:space="preserve">Blue font on amber = input you can change. Black font = live formula. Light blue fill = key output.</t>
  </si>
  <si>
    <t xml:space="preserve">Units</t>
  </si>
  <si>
    <t xml:space="preserve">US$ millions unless stated. Shares in millions in the bridge. Per MW figures in US$ millions.</t>
  </si>
  <si>
    <t xml:space="preserve">Tabs</t>
  </si>
  <si>
    <t xml:space="preserve">Inputs</t>
  </si>
  <si>
    <t xml:space="preserve">Sourced figures and my assumptions, each with its source.</t>
  </si>
  <si>
    <t xml:space="preserve">Quarterly</t>
  </si>
  <si>
    <t xml:space="preserve">Q1 2025 to Q2 2026 history, 2026 guide and consensus 2027.</t>
  </si>
  <si>
    <t xml:space="preserve">ARR_Recon</t>
  </si>
  <si>
    <t xml:space="preserve">Why US$20 to 25m per MW and a US$7 to 9bn run-rate are both true: the connected vs active lag.</t>
  </si>
  <si>
    <t xml:space="preserve">UnitEcon</t>
  </si>
  <si>
    <t xml:space="preserve">What a megawatt earns at the old and new contract prices.</t>
  </si>
  <si>
    <t xml:space="preserve">CapStructure</t>
  </si>
  <si>
    <t xml:space="preserve">Convertible notes, if-converted share bridge, equity value and enterprise value.</t>
  </si>
  <si>
    <t xml:space="preserve">Valuation</t>
  </si>
  <si>
    <t xml:space="preserve">EV multiples on consensus 2027, peer multiples, and the 5 GW build against market value.</t>
  </si>
  <si>
    <t xml:space="preserve">Scenarios</t>
  </si>
  <si>
    <t xml:space="preserve">Bear, base and bull for 2028, valued in October 2027, and the probability-weighted value.</t>
  </si>
  <si>
    <t xml:space="preserve">Sensitivity</t>
  </si>
  <si>
    <t xml:space="preserve">2028 EBITDA against the multiple, live grid.</t>
  </si>
  <si>
    <t xml:space="preserve">Sources</t>
  </si>
  <si>
    <t xml:space="preserve">Every source used.</t>
  </si>
  <si>
    <t xml:space="preserve">Disclaimer</t>
  </si>
  <si>
    <t xml:space="preserve">Personal research, not investment advice.</t>
  </si>
  <si>
    <t xml:space="preserve">INPUTS</t>
  </si>
  <si>
    <t xml:space="preserve">Blue font on amber = input. Change any of these and every other tab recalculates.</t>
  </si>
  <si>
    <t xml:space="preserve">Input</t>
  </si>
  <si>
    <t xml:space="preserve">Value</t>
  </si>
  <si>
    <t xml:space="preserve">Unit</t>
  </si>
  <si>
    <t xml:space="preserve">Source / basis</t>
  </si>
  <si>
    <t xml:space="preserve">PRICING</t>
  </si>
  <si>
    <t xml:space="preserve">Share price, reference</t>
  </si>
  <si>
    <t xml:space="preserve">US$</t>
  </si>
  <si>
    <t xml:space="preserve">Nasdaq close, 5 Oct 2026. Yahoo Finance, retrieved 6 Oct 2026.</t>
  </si>
  <si>
    <t xml:space="preserve">Re-look price</t>
  </si>
  <si>
    <t xml:space="preserve">My level from the published pitch: base case offers about a quarter of upside here.</t>
  </si>
  <si>
    <t xml:space="preserve">GUIDANCE AND CONSENSUS</t>
  </si>
  <si>
    <t xml:space="preserve">Year-end 2026 ARR guide, low</t>
  </si>
  <si>
    <t xml:space="preserve">US$bn</t>
  </si>
  <si>
    <t xml:space="preserve">Nebius Q2 2026 shareholder letter, 12 Aug 2026.</t>
  </si>
  <si>
    <t xml:space="preserve">Year-end 2026 ARR guide, high</t>
  </si>
  <si>
    <t xml:space="preserve">As above.</t>
  </si>
  <si>
    <t xml:space="preserve">Connected power guide end 2026, low</t>
  </si>
  <si>
    <t xml:space="preserve">MW</t>
  </si>
  <si>
    <t xml:space="preserve">As above. Connected = wired into fully built and equipped data centres.</t>
  </si>
  <si>
    <t xml:space="preserve">Connected power guide end 2026, high</t>
  </si>
  <si>
    <t xml:space="preserve">2026 capital spending guide, low</t>
  </si>
  <si>
    <t xml:space="preserve">2026 capital spending guide, high</t>
  </si>
  <si>
    <t xml:space="preserve">Consensus revenue 2026</t>
  </si>
  <si>
    <t xml:space="preserve">Yahoo Finance consensus, retrieved 6 Oct 2026.</t>
  </si>
  <si>
    <t xml:space="preserve">Consensus revenue 2027</t>
  </si>
  <si>
    <t xml:space="preserve">Annual contract value per MW, 2026 fleet base</t>
  </si>
  <si>
    <t xml:space="preserve">US$m/MW</t>
  </si>
  <si>
    <t xml:space="preserve">Nebius Q2 2026 letter, 'ACV per MW is stepping up'. Approximate, revenue recognition basis, excl. prepayments.</t>
  </si>
  <si>
    <t xml:space="preserve">ACV per MW, Q2 2026 large deals, low</t>
  </si>
  <si>
    <t xml:space="preserve">ACV per MW, Q2 2026 large deals, high</t>
  </si>
  <si>
    <t xml:space="preserve">ACV per MW, Q3 2026 short-term deals (floor)</t>
  </si>
  <si>
    <t xml:space="preserve">As above. Given as above US$40m; treated as a floor.</t>
  </si>
  <si>
    <t xml:space="preserve">ARR at end 2025</t>
  </si>
  <si>
    <t xml:space="preserve">Nebius Q4 2025 shareholder letter.</t>
  </si>
  <si>
    <t xml:space="preserve">Active power at end 2025, approx</t>
  </si>
  <si>
    <t xml:space="preserve">Nebius shareholder letters; approximate.</t>
  </si>
  <si>
    <t xml:space="preserve">Power pipeline</t>
  </si>
  <si>
    <t xml:space="preserve">GW</t>
  </si>
  <si>
    <t xml:space="preserve">Nebius, as described in the 30 Sep 2026 journal piece and the pitch.</t>
  </si>
  <si>
    <t xml:space="preserve">UNIT ECONOMICS (MY ASSUMPTIONS)</t>
  </si>
  <si>
    <t xml:space="preserve">Capital cost per MW</t>
  </si>
  <si>
    <t xml:space="preserve">US$m</t>
  </si>
  <si>
    <t xml:space="preserve">MY ESTIMATE: 2026 capex of US$20 to 25bn against ~600 to 800 MW of new connected power, some of it 2027 spend.</t>
  </si>
  <si>
    <t xml:space="preserve">Share of cost that is chips and network</t>
  </si>
  <si>
    <t xml:space="preserve">%</t>
  </si>
  <si>
    <t xml:space="preserve">MY ASSUMPTION.</t>
  </si>
  <si>
    <t xml:space="preserve">Chip and network life</t>
  </si>
  <si>
    <t xml:space="preserve">years</t>
  </si>
  <si>
    <t xml:space="preserve">MY ASSUMPTION. Five years, because a hall of older chips earns less each year.</t>
  </si>
  <si>
    <t xml:space="preserve">Building life</t>
  </si>
  <si>
    <t xml:space="preserve">EBITDA margin on contract value</t>
  </si>
  <si>
    <t xml:space="preserve">MY ASSUMPTION, close to the 49.7% AI cloud adj. EBITDA margin reported for Q2 2026.</t>
  </si>
  <si>
    <t xml:space="preserve">SHARES, CASH AND DEBT (FILINGS)</t>
  </si>
  <si>
    <t xml:space="preserve">Class A shares, 30 Jun 2026</t>
  </si>
  <si>
    <t xml:space="preserve">m</t>
  </si>
  <si>
    <t xml:space="preserve">Nebius interim financial statements to 30 Jun 2026: 238,400,165.</t>
  </si>
  <si>
    <t xml:space="preserve">Class B shares, 30 Jun 2026</t>
  </si>
  <si>
    <t xml:space="preserve">As above: 33,455,053.</t>
  </si>
  <si>
    <t xml:space="preserve">Nvidia pre-funded warrants</t>
  </si>
  <si>
    <t xml:space="preserve">m shares</t>
  </si>
  <si>
    <t xml:space="preserve">As above: 21,065,936 shares.</t>
  </si>
  <si>
    <t xml:space="preserve">Shares issued ~24 Aug 2026 for US$800m of 2029/2031 notes</t>
  </si>
  <si>
    <t xml:space="preserve">Nebius release, 24 Aug 2026. Approximate (~15.8m).</t>
  </si>
  <si>
    <t xml:space="preserve">Options outstanding</t>
  </si>
  <si>
    <t xml:space="preserve">Interim statements: 6,740,600.</t>
  </si>
  <si>
    <t xml:space="preserve">Options weighted average exercise price</t>
  </si>
  <si>
    <t xml:space="preserve">Restricted stock units</t>
  </si>
  <si>
    <t xml:space="preserve">As above: 6,234,091.</t>
  </si>
  <si>
    <t xml:space="preserve">Cash and equivalents, 30 Jun 2026</t>
  </si>
  <si>
    <t xml:space="preserve">Restricted cash, 30 Jun 2026 (excluded from net debt)</t>
  </si>
  <si>
    <t xml:space="preserve">Secured facility, SOFR + 2.50% to Oct 2030</t>
  </si>
  <si>
    <t xml:space="preserve">Nebius release, 10 Jul 2026. Approximate.</t>
  </si>
  <si>
    <t xml:space="preserve">Pro forma cash before Q3 spending</t>
  </si>
  <si>
    <t xml:space="preserve">MY ESTIMATE, from the pitch: 30 Jun cash plus the Aug 2026 notes and the secured facility, before fees. See CapStructure cross-check.</t>
  </si>
  <si>
    <t xml:space="preserve">Deferred revenue, current</t>
  </si>
  <si>
    <t xml:space="preserve">Interim statements, 30 Jun 2026. Mostly customer prepayments.</t>
  </si>
  <si>
    <t xml:space="preserve">Deferred revenue, non-current</t>
  </si>
  <si>
    <t xml:space="preserve">Remaining performance obligations</t>
  </si>
  <si>
    <t xml:space="preserve">ATM shares sold May to Jun 2026</t>
  </si>
  <si>
    <t xml:space="preserve">Nebius filings: 12,729,493 shares.</t>
  </si>
  <si>
    <t xml:space="preserve">ATM average price</t>
  </si>
  <si>
    <t xml:space="preserve">ATM net proceeds</t>
  </si>
  <si>
    <t xml:space="preserve">MARKET AND CUSTOMERS</t>
  </si>
  <si>
    <t xml:space="preserve">Short interest, 15 Sep 2026</t>
  </si>
  <si>
    <t xml:space="preserve">Yahoo Finance, retrieved 6 Oct 2026.</t>
  </si>
  <si>
    <t xml:space="preserve">Short interest, share of float</t>
  </si>
  <si>
    <t xml:space="preserve">Largest customer, share of Q2 2026 revenue</t>
  </si>
  <si>
    <t xml:space="preserve">Nebius Q2 2026 results, Form 6-K. Customers unnamed.</t>
  </si>
  <si>
    <t xml:space="preserve">Second customer</t>
  </si>
  <si>
    <t xml:space="preserve">Third customer</t>
  </si>
  <si>
    <t xml:space="preserve">Top three customers, combined</t>
  </si>
  <si>
    <t xml:space="preserve">QUARTERLY HISTORY, 2026 GUIDE AND CONSENSUS 2027</t>
  </si>
  <si>
    <t xml:space="preserve">US$ millions unless stated. History is input (blue). Guide and consensus columns are flagged and not my forecasts.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</si>
  <si>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</si>
  <si>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</si>
  <si>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</si>
  <si>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</si>
  <si>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</si>
  <si>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</si>
  <si>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2026 guide / cons.</t>
  </si>
  <si>
    <t xml:space="preserve">2027 consensus</t>
  </si>
  <si>
    <t xml:space="preserve">Revenue</t>
  </si>
  <si>
    <t xml:space="preserve">Revenue growth, quarter on quarter</t>
  </si>
  <si>
    <t xml:space="preserve">ARR at quarter end, US$bn</t>
  </si>
  <si>
    <t xml:space="preserve">7.00 to 9.00</t>
  </si>
  <si>
    <t xml:space="preserve">ARR growth, quarter on quarter</t>
  </si>
  <si>
    <t xml:space="preserve">Capital spending</t>
  </si>
  <si>
    <t xml:space="preserve">20,000 to 25,000</t>
  </si>
  <si>
    <t xml:space="preserve">Capital spending per US$1 of revenue</t>
  </si>
  <si>
    <t xml:space="preserve">AI cloud adj. EBITDA margin</t>
  </si>
  <si>
    <t xml:space="preserve">n.d.</t>
  </si>
  <si>
    <t xml:space="preserve">Connected power, end of period, MW</t>
  </si>
  <si>
    <t xml:space="preserve">800 to 1,000</t>
  </si>
  <si>
    <t xml:space="preserve">Active power, end of period, MW (approx)</t>
  </si>
  <si>
    <t xml:space="preserve">Second half 2026: ARR multiple needed to reach guide low</t>
  </si>
  <si>
    <t xml:space="preserve">Second half 2026: ARR multiple needed to reach guide high</t>
  </si>
  <si>
    <t xml:space="preserve">H1 2026 capital spending</t>
  </si>
  <si>
    <t xml:space="preserve">Implied H2 2026 capital spending, low</t>
  </si>
  <si>
    <t xml:space="preserve">Implied H2 2026 capital spending, high</t>
  </si>
  <si>
    <t xml:space="preserve">Consensus 2027 revenue / ARR guide high</t>
  </si>
  <si>
    <t xml:space="preserve">Sources: Nebius quarterly shareholder letters and results on Form 6-K, Q2 2025 to Q2 2026. Before 2026, ARR covers the core AI infrastructure business.</t>
  </si>
  <si>
    <t xml:space="preserve">Q1 2025 capital spending is derived from the first half less the second quarter. Q4 2025, Q1 2026 and Q2 2026 capital spending are approximate, as reported.</t>
  </si>
  <si>
    <t xml:space="preserve">2026 guide (ARR, connected power, capital spending): Q2 2026 letter, 12 Aug 2026. 2026 and 2027 revenue: Yahoo Finance consensus, 6 Oct 2026. Neither is my forecast.</t>
  </si>
  <si>
    <t xml:space="preserve">n.d. = not disclosed on a comparable basis. Implied H2 capex of US$12 to 17bn matches the pitch (guide less H1 of ~US$8.2bn).</t>
  </si>
  <si>
    <t xml:space="preserve">THE RECONCILIATION: CONTRACT VALUE PER MW AGAINST THE RUN-RATE GUIDE</t>
  </si>
  <si>
    <t xml:space="preserve">If new deals pay US$20 to 25m per MW, why is the year-end run-rate only US$7 to 9bn? Because much connected power is not yet billing.</t>
  </si>
  <si>
    <t xml:space="preserve">Step</t>
  </si>
  <si>
    <t xml:space="preserve">Low</t>
  </si>
  <si>
    <t xml:space="preserve">High</t>
  </si>
  <si>
    <t xml:space="preserve">Working</t>
  </si>
  <si>
    <t xml:space="preserve">Connected power guide, end 2026, MW</t>
  </si>
  <si>
    <t xml:space="preserve">Bottom of the 800 MW to 1 GW range, used for both columns</t>
  </si>
  <si>
    <t xml:space="preserve">New-deal contract value per MW, US$m</t>
  </si>
  <si>
    <t xml:space="preserve">Q2 2026 large deals</t>
  </si>
  <si>
    <t xml:space="preserve">Naive annual revenue if all connected MW billed at new prices, US$bn</t>
  </si>
  <si>
    <t xml:space="preserve">800 x US$20 to 25m = US$16 to 20bn</t>
  </si>
  <si>
    <t xml:space="preserve">Year-end 2026 ARR guide, US$bn</t>
  </si>
  <si>
    <t xml:space="preserve">ARR = December revenue x 12, so only what bills that month</t>
  </si>
  <si>
    <t xml:space="preserve">Gap, US$bn</t>
  </si>
  <si>
    <t xml:space="preserve">CLOSING THE GAP</t>
  </si>
  <si>
    <t xml:space="preserve">Fleet base contract value per MW, US$m</t>
  </si>
  <si>
    <t xml:space="preserve">Most new deals earn mainly in 2027, so December 2026 bills at the fleet base</t>
  </si>
  <si>
    <t xml:space="preserve">MW billing in December 2026 implied by the guide</t>
  </si>
  <si>
    <t xml:space="preserve">US$7 to 9bn / US$12m = ~580 to 750 MW</t>
  </si>
  <si>
    <t xml:space="preserve">Connected but not yet billing, MW (vs 800 MW connected)</t>
  </si>
  <si>
    <t xml:space="preserve">The lag of several months between connected and active power</t>
  </si>
  <si>
    <t xml:space="preserve">Billing MW as share of 800 MW connected</t>
  </si>
  <si>
    <t xml:space="preserve">CROSS-CHECK: END 2025</t>
  </si>
  <si>
    <t xml:space="preserve">ARR at end 2025, US$bn</t>
  </si>
  <si>
    <t xml:space="preserve">Active power at end 2025, MW (approx)</t>
  </si>
  <si>
    <t xml:space="preserve">ARR per active MW, US$m</t>
  </si>
  <si>
    <t xml:space="preserve">~US$7.4m, a similar ratio to the 2026 guide on a connected basis</t>
  </si>
  <si>
    <t xml:space="preserve">Sources: Nebius Q2 2026 shareholder letter, 12 Aug 2026 (guide, ACV per MW, definitions of connected and active power); Q2 2026 call (deployment sequence). Working is mine.</t>
  </si>
  <si>
    <t xml:space="preserve">UNIT ECONOMICS: WHAT A MEGAWATT EARNS</t>
  </si>
  <si>
    <t xml:space="preserve">My estimates, built on Nebius's figures. US$ millions per MW per year.</t>
  </si>
  <si>
    <t xml:space="preserve">Cost build</t>
  </si>
  <si>
    <t xml:space="preserve">Chips and network share</t>
  </si>
  <si>
    <t xml:space="preserve">Annual wear on chips and network</t>
  </si>
  <si>
    <t xml:space="preserve">US$24m over 5 years</t>
  </si>
  <si>
    <t xml:space="preserve">Annual wear on building</t>
  </si>
  <si>
    <t xml:space="preserve">US$6m over 20 years</t>
  </si>
  <si>
    <t xml:space="preserve">Total annual wear (depreciation) per MW</t>
  </si>
  <si>
    <t xml:space="preserve">EBITDA margin</t>
  </si>
  <si>
    <t xml:space="preserve">Contract value per MW</t>
  </si>
  <si>
    <t xml:space="preserve">ACV</t>
  </si>
  <si>
    <t xml:space="preserve">EBITDA per MW</t>
  </si>
  <si>
    <t xml:space="preserve">Profit after wear</t>
  </si>
  <si>
    <t xml:space="preserve">Pre-tax return on capital</t>
  </si>
  <si>
    <t xml:space="preserve">US$12m, the 2026 fleet</t>
  </si>
  <si>
    <t xml:space="preserve">US$20m, new deals, low</t>
  </si>
  <si>
    <t xml:space="preserve">US$25m, new deals, high</t>
  </si>
  <si>
    <t xml:space="preserve">Pitch figures: EBITDA 6.0 / 10.0 / 12.5; profit after wear 0.9 / 4.9 / 7.4; return 3% / 16% / 25%.</t>
  </si>
  <si>
    <t xml:space="preserve">At the old price a megawatt barely earns back its cost before the chips age out. At the new price it earns a good return.</t>
  </si>
  <si>
    <t xml:space="preserve">BREAK-EVEN AND THE 5 GW BUILD</t>
  </si>
  <si>
    <t xml:space="preserve">Contract value per MW for zero profit after wear</t>
  </si>
  <si>
    <t xml:space="preserve">Contract value per MW for a 10% pre-tax return</t>
  </si>
  <si>
    <t xml:space="preserve">Power pipeline, MW</t>
  </si>
  <si>
    <t xml:space="preserve">Capital to build the pipeline, US$bn</t>
  </si>
  <si>
    <t xml:space="preserve">Equity value, if-converted, US$bn</t>
  </si>
  <si>
    <t xml:space="preserve">Build cost / equity value</t>
  </si>
  <si>
    <t xml:space="preserve">CAPITAL STRUCTURE, IF-CONVERTED SHARE BRIDGE AND ENTERPRISE VALUE</t>
  </si>
  <si>
    <t xml:space="preserve">Notes in the money at the reference price are counted as shares; the rest stay as debt. US$ millions; shares in millions.</t>
  </si>
  <si>
    <t xml:space="preserve">Convertible notes</t>
  </si>
  <si>
    <t xml:space="preserve">Principal</t>
  </si>
  <si>
    <t xml:space="preserve">Coupon</t>
  </si>
  <si>
    <t xml:space="preserve">Conversion price</t>
  </si>
  <si>
    <t xml:space="preserve">Maturity</t>
  </si>
  <si>
    <t xml:space="preserve">In the money?</t>
  </si>
  <si>
    <t xml:space="preserve">Shares if converted</t>
  </si>
  <si>
    <t xml:space="preserve">Treatment</t>
  </si>
  <si>
    <t xml:space="preserve">2029 notes (Remaining after Aug 2026 exchange)</t>
  </si>
  <si>
    <t xml:space="preserve">Jun 2029</t>
  </si>
  <si>
    <t xml:space="preserve">2031 notes (Remaining after Aug 2026 exchange)</t>
  </si>
  <si>
    <t xml:space="preserve">Jun 2031</t>
  </si>
  <si>
    <t xml:space="preserve">2030 notes</t>
  </si>
  <si>
    <t xml:space="preserve">Sep 2030</t>
  </si>
  <si>
    <t xml:space="preserve">2032 notes</t>
  </si>
  <si>
    <t xml:space="preserve">Sep 2032</t>
  </si>
  <si>
    <t xml:space="preserve">2031 notes (Mar)</t>
  </si>
  <si>
    <t xml:space="preserve">Mar 2031</t>
  </si>
  <si>
    <t xml:space="preserve">2033 notes</t>
  </si>
  <si>
    <t xml:space="preserve">Mar 2033</t>
  </si>
  <si>
    <t xml:space="preserve">2030 notes (Aug 2026) (Issued Aug 2026)</t>
  </si>
  <si>
    <t xml:space="preserve">Feb 2030</t>
  </si>
  <si>
    <t xml:space="preserve">2034 notes (Aug 2026) (Issued Aug 2026)</t>
  </si>
  <si>
    <t xml:space="preserve">Feb 2034</t>
  </si>
  <si>
    <t xml:space="preserve">Total convertible notes</t>
  </si>
  <si>
    <t xml:space="preserve">Shares from in-the-money notes</t>
  </si>
  <si>
    <t xml:space="preserve">Share bridge</t>
  </si>
  <si>
    <t xml:space="preserve">Shares, m</t>
  </si>
  <si>
    <t xml:space="preserve">Basic shares, 30 Jun 2026</t>
  </si>
  <si>
    <t xml:space="preserve">271,855,218</t>
  </si>
  <si>
    <t xml:space="preserve">Near-zero exercise price, counted in full</t>
  </si>
  <si>
    <t xml:space="preserve">Shares issued ~24 Aug 2026 for 2029/2031 notes</t>
  </si>
  <si>
    <t xml:space="preserve">US$800m of notes exchanged</t>
  </si>
  <si>
    <t xml:space="preserve">Options, treasury method</t>
  </si>
  <si>
    <t xml:space="preserve">6.74m at WAEP US$88.65</t>
  </si>
  <si>
    <t xml:space="preserve">Counted in full</t>
  </si>
  <si>
    <t xml:space="preserve">In-the-money convertible notes</t>
  </si>
  <si>
    <t xml:space="preserve">Six notes below the price</t>
  </si>
  <si>
    <t xml:space="preserve">If-converted shares</t>
  </si>
  <si>
    <t xml:space="preserve">Pitch: ~370m (369.6m)</t>
  </si>
  <si>
    <t xml:space="preserve">Enterprise value</t>
  </si>
  <si>
    <t xml:space="preserve">Reference price, US$</t>
  </si>
  <si>
    <t xml:space="preserve">If-converted shares, m</t>
  </si>
  <si>
    <t xml:space="preserve">Notes that stay as debt</t>
  </si>
  <si>
    <t xml:space="preserve">The two Aug 2026 notes, US$5.75bn</t>
  </si>
  <si>
    <t xml:space="preserve">Secured facility</t>
  </si>
  <si>
    <t xml:space="preserve">Debt staying as debt</t>
  </si>
  <si>
    <t xml:space="preserve">Pitch: ~US$6.5bn</t>
  </si>
  <si>
    <t xml:space="preserve">Equity value, if-converted</t>
  </si>
  <si>
    <t xml:space="preserve">Pitch: ~US$86bn</t>
  </si>
  <si>
    <t xml:space="preserve">Less: pro forma cash</t>
  </si>
  <si>
    <t xml:space="preserve">My estimate, ~US$14.5bn</t>
  </si>
  <si>
    <t xml:space="preserve">Plus: debt staying as debt</t>
  </si>
  <si>
    <t xml:space="preserve">Pitch: ~US$78bn</t>
  </si>
  <si>
    <t xml:space="preserve">Pro forma cash cross-check</t>
  </si>
  <si>
    <t xml:space="preserve">Aug 2026 notes, principal</t>
  </si>
  <si>
    <t xml:space="preserve">Sum before fees</t>
  </si>
  <si>
    <t xml:space="preserve">Consistent with ~US$14.5bn after fees</t>
  </si>
  <si>
    <t xml:space="preserve">Restricted cash (excluded)</t>
  </si>
  <si>
    <t xml:space="preserve">Other balance sheet items</t>
  </si>
  <si>
    <t xml:space="preserve">Deferred revenue, total, US$m</t>
  </si>
  <si>
    <t xml:space="preserve">Customer prepayments; funds part of the build</t>
  </si>
  <si>
    <t xml:space="preserve">Remaining performance obligations, US$bn</t>
  </si>
  <si>
    <t xml:space="preserve">ATM May to Jun 2026, gross at average price, US$bn</t>
  </si>
  <si>
    <t xml:space="preserve">Net proceeds US$2.81bn</t>
  </si>
  <si>
    <t xml:space="preserve">Short interest as share of if-converted count</t>
  </si>
  <si>
    <t xml:space="preserve">~19.8% of float on Yahoo's float measure</t>
  </si>
  <si>
    <t xml:space="preserve">Sources: Nebius interim financial statements to 30 Jun 2026; Nebius releases of 10 Jul 2026 (secured loan) and 19 and 24 Aug 2026 (convertible notes). Bridge, cash estimate and treatment are mine.</t>
  </si>
  <si>
    <t xml:space="preserve">WHAT THE MARKET PRICES IN: EV MULTIPLES ON CONSENSUS 2027</t>
  </si>
  <si>
    <t xml:space="preserve">Item</t>
  </si>
  <si>
    <t xml:space="preserve">Enterprise value, US$bn</t>
  </si>
  <si>
    <t xml:space="preserve">Consensus revenue 2027, US$bn</t>
  </si>
  <si>
    <t xml:space="preserve">EBITDA margin applied</t>
  </si>
  <si>
    <t xml:space="preserve">2027 EBITDA, US$bn, unrounded</t>
  </si>
  <si>
    <t xml:space="preserve">2027 EBITDA, US$bn, rounded</t>
  </si>
  <si>
    <t xml:space="preserve">EV / 2027 EBITDA</t>
  </si>
  <si>
    <t xml:space="preserve">Note: about 12.7x on ~US$6.15bn</t>
  </si>
  <si>
    <t xml:space="preserve">EV / 2027 EBITDA, on rounded EBITDA</t>
  </si>
  <si>
    <t xml:space="preserve">Shown for transparency</t>
  </si>
  <si>
    <t xml:space="preserve">EV / 2027 revenue</t>
  </si>
  <si>
    <t xml:space="preserve">Pitch: 6.3x</t>
  </si>
  <si>
    <t xml:space="preserve">EV / 2026 consensus revenue</t>
  </si>
  <si>
    <t xml:space="preserve">Consensus 2027 revenue / end-2026 ARR guide, low to high</t>
  </si>
  <si>
    <t xml:space="preserve">Consensus assumes the run-rate roughly doubles again through 2027</t>
  </si>
  <si>
    <t xml:space="preserve">Peer landscape</t>
  </si>
  <si>
    <t xml:space="preserve">Multiple</t>
  </si>
  <si>
    <t xml:space="preserve">Premium of NBIS</t>
  </si>
  <si>
    <t xml:space="preserve">Basis (Yahoo Finance, 6 Oct 2026)</t>
  </si>
  <si>
    <t xml:space="preserve">Nebius (my EV)</t>
  </si>
  <si>
    <t xml:space="preserve">CoreWeave</t>
  </si>
  <si>
    <t xml:space="preserve">Oracle</t>
  </si>
  <si>
    <t xml:space="preserve">Next financial year revenue</t>
  </si>
  <si>
    <t xml:space="preserve">IREN</t>
  </si>
  <si>
    <t xml:space="preserve">Peer multiples are on different bases and fiscal years; they frame the premium, they are not a valuation input.</t>
  </si>
  <si>
    <t xml:space="preserve">THREE CASES, TWELVE MONTHS OUT: 2028 EBITDA AT A MULTIPLE, LESS END-2027 NET DEBT</t>
  </si>
  <si>
    <t xml:space="preserve">By October 2027 the market will be pricing 2028. Inputs in blue. Net debt is after another year of heavy building; share counts assume some new shares are sold.</t>
  </si>
  <si>
    <t xml:space="preserve">Case</t>
  </si>
  <si>
    <t xml:space="preserve">What happens</t>
  </si>
  <si>
    <t xml:space="preserve">2028 revenue, US$bn</t>
  </si>
  <si>
    <t xml:space="preserve">Margin</t>
  </si>
  <si>
    <t xml:space="preserve">Net debt end 2027, US$bn</t>
  </si>
  <si>
    <t xml:space="preserve">Weight</t>
  </si>
  <si>
    <t xml:space="preserve">2028 EBITDA, US$bn</t>
  </si>
  <si>
    <t xml:space="preserve">Value per share, US$</t>
  </si>
  <si>
    <t xml:space="preserve">Change vs price</t>
  </si>
  <si>
    <t xml:space="preserve">Bear</t>
  </si>
  <si>
    <t xml:space="preserve">Connection slips, new prices fall towards the old</t>
  </si>
  <si>
    <t xml:space="preserve">Base</t>
  </si>
  <si>
    <t xml:space="preserve">About 800 MW connected on time, prices hold</t>
  </si>
  <si>
    <t xml:space="preserve">Bull</t>
  </si>
  <si>
    <t xml:space="preserve">More than 1 GW a year from 2027, prices keep rising</t>
  </si>
  <si>
    <t xml:space="preserve">Weighted</t>
  </si>
  <si>
    <t xml:space="preserve">Probability-weighted value</t>
  </si>
  <si>
    <t xml:space="preserve">Check</t>
  </si>
  <si>
    <t xml:space="preserve">Weights sum to 100%</t>
  </si>
  <si>
    <t xml:space="preserve">RE-LOOK</t>
  </si>
  <si>
    <t xml:space="preserve">Re-look price, US$</t>
  </si>
  <si>
    <t xml:space="preserve">Base case upside from the re-look price</t>
  </si>
  <si>
    <t xml:space="preserve">Bear case downside from the re-look price</t>
  </si>
  <si>
    <t xml:space="preserve">Price at which the base case offers 25% upside</t>
  </si>
  <si>
    <t xml:space="preserve">Pitch: bear US$78 (down 66%), base US$229 (down 1%), bull US$430 (up 85%), weighted ~US$242 (up 4%). Base multiple of 11x sits between CoreWeave and where Nebius trades today.</t>
  </si>
  <si>
    <t xml:space="preserve">SENSITIVITY: VALUE PER SHARE, US$, BY 2028 EBITDA AND MULTIPLE</t>
  </si>
  <si>
    <t xml:space="preserve">2028 EBITDA, US$bn  /  multiple</t>
  </si>
  <si>
    <t xml:space="preserve">Pitch grid: 135 / 174 / 213; 182 / 231 / 280; 228 / 287 / 347. The range is wide and centred close to today's price.</t>
  </si>
  <si>
    <t xml:space="preserve">2028 EBITDA the price implies at 11x, US$bn</t>
  </si>
  <si>
    <t xml:space="preserve">SOURCES</t>
  </si>
  <si>
    <t xml:space="preserve">Nebius quarterly shareholder letters and results on Form 6-K, Q2 2025 to Q2 2026: revenue, annualised run-rate, margins, capital spending, power and customer concentration.</t>
  </si>
  <si>
    <t xml:space="preserve">Nebius Q2 2026 shareholder letter, 12 August 2026: guidance, contract value per megawatt ('ACV per MW is stepping up'), and definitions of connected and active power.</t>
  </si>
  <si>
    <t xml:space="preserve">Nebius Q2 2026 earnings call, 12 August 2026: the deployment sequence after power is connected.</t>
  </si>
  <si>
    <t xml:space="preserve">Nebius interim financial statements to 30 June 2026: shares (Class A and B), cash, restricted cash, deferred revenue, RPO, notes, options, RSUs and the Nvidia pre-funded warrants.</t>
  </si>
  <si>
    <t xml:space="preserve">Nebius releases of 19 and 24 August 2026 on the convertible notes (new 2030 and 2034 notes; exchange of US$800m of 2029/2031 notes for ~15.8m shares), and of 10 July 2026 on the secured loan.</t>
  </si>
  <si>
    <t xml:space="preserve">Nebius Form 6-K on the Microsoft agreement, 8 September 2025, and announcement of the second Meta agreement, 16 March 2026.</t>
  </si>
  <si>
    <t xml:space="preserve">Bloomberg News on Meta's cloud plans, 1 July 2026.</t>
  </si>
  <si>
    <t xml:space="preserve">Consensus revenue, peer multiples, short interest (15 Sep 2026) and share prices: Yahoo Finance, retrieved 6 October 2026.</t>
  </si>
  <si>
    <t xml:space="preserve">On-demand GPU price changes as reported by Spheron and Coin Republic, September 2026 (not confirmed on a Nebius page).</t>
  </si>
  <si>
    <t xml:space="preserve">Unit economics, pro forma cash, net debt, share count, 2028 scenarios and the sensitivity grid are my own estimates.</t>
  </si>
  <si>
    <t xml:space="preserve">Published pitch: https://thephysicallayer.fyi/research/   Journal piece, 30 Sep 2026: https://thephysicallayer.fyi/journal/nebius-paid-for-what-is-switched-on/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</si>
</sst>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&quot;US$&quot;#,##0.00"/>
    <numFmt numFmtId="166" formatCode="#,##0.00"/>
    <numFmt numFmtId="167" formatCode="#,##0"/>
    <numFmt numFmtId="168" formatCode="#,##0.0"/>
    <numFmt numFmtId="169" formatCode="0%"/>
    <numFmt numFmtId="170" formatCode="0.0%"/>
    <numFmt numFmtId="171" formatCode="#,##0.000"/>
    <numFmt numFmtId="172" formatCode="0.0\x"/>
    <numFmt numFmtId="173" formatCode="0.00\x"/>
    <numFmt numFmtId="174" formatCode="0.000%"/>
    <numFmt numFmtId="175" formatCode="&quot;US$&quot;0.0&quot;bn&quot;"/>
    <numFmt numFmtId="176" formatCode="&quot;US$&quot;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0000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9E2F3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 style="thin">
        <color rgb="FF1F3864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0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6"/>
  </cols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3" t="s">
        <v>2</v>
      </c>
    </row>
    <row r="4" customFormat="false" ht="26.85" hidden="false" customHeight="false" outlineLevel="0" collapsed="false">
      <c r="A4" s="2" t="s">
        <v>3</v>
      </c>
      <c r="B4" s="4" t="s">
        <v>4</v>
      </c>
    </row>
    <row r="5" customFormat="false" ht="15" hidden="false" customHeight="false" outlineLevel="0" collapsed="false">
      <c r="A5" s="2" t="s">
        <v>5</v>
      </c>
      <c r="B5" s="3" t="s">
        <v>6</v>
      </c>
    </row>
    <row r="6" customFormat="false" ht="15" hidden="false" customHeight="false" outlineLevel="0" collapsed="false">
      <c r="A6" s="2" t="s">
        <v>7</v>
      </c>
      <c r="B6" s="3" t="s">
        <v>8</v>
      </c>
    </row>
    <row r="7" customFormat="false" ht="23.85" hidden="false" customHeight="false" outlineLevel="0" collapsed="false">
      <c r="A7" s="2" t="s">
        <v>9</v>
      </c>
      <c r="B7" s="3" t="s">
        <v>10</v>
      </c>
    </row>
    <row r="8" customFormat="false" ht="23.85" hidden="false" customHeight="false" outlineLevel="0" collapsed="false">
      <c r="A8" s="2" t="s">
        <v>11</v>
      </c>
      <c r="B8" s="3" t="s">
        <v>12</v>
      </c>
    </row>
    <row r="9" customFormat="false" ht="15" hidden="false" customHeight="false" outlineLevel="0" collapsed="false">
      <c r="A9" s="2" t="s">
        <v>13</v>
      </c>
      <c r="B9" s="3" t="s">
        <v>14</v>
      </c>
    </row>
    <row r="10" customFormat="false" ht="15" hidden="false" customHeight="false" outlineLevel="0" collapsed="false">
      <c r="A10" s="2" t="s">
        <v>15</v>
      </c>
      <c r="B10" s="3" t="s">
        <v>16</v>
      </c>
    </row>
    <row r="11" customFormat="false" ht="15" hidden="false" customHeight="false" outlineLevel="0" collapsed="false">
      <c r="A11" s="2" t="s">
        <v>17</v>
      </c>
      <c r="B11" s="3" t="s">
        <v>18</v>
      </c>
    </row>
    <row r="12" customFormat="false" ht="15" hidden="false" customHeight="false" outlineLevel="0" collapsed="false">
      <c r="A12" s="2"/>
      <c r="B12" s="3"/>
    </row>
    <row r="13" customFormat="false" ht="15" hidden="false" customHeight="false" outlineLevel="0" collapsed="false">
      <c r="A13" s="2" t="s">
        <v>19</v>
      </c>
      <c r="B13" s="3" t="s">
        <v>20</v>
      </c>
    </row>
    <row r="14" customFormat="false" ht="15" hidden="false" customHeight="false" outlineLevel="0" collapsed="false">
      <c r="A14" s="2" t="s">
        <v>21</v>
      </c>
      <c r="B14" s="3" t="s">
        <v>22</v>
      </c>
    </row>
    <row r="15" customFormat="false" ht="15" hidden="false" customHeight="false" outlineLevel="0" collapsed="false">
      <c r="A15" s="2"/>
      <c r="B15" s="3"/>
    </row>
    <row r="16" customFormat="false" ht="15" hidden="false" customHeight="false" outlineLevel="0" collapsed="false">
      <c r="A16" s="2" t="s">
        <v>23</v>
      </c>
      <c r="B16" s="3"/>
    </row>
    <row r="17" customFormat="false" ht="15" hidden="false" customHeight="false" outlineLevel="0" collapsed="false">
      <c r="A17" s="2" t="s">
        <v>24</v>
      </c>
      <c r="B17" s="3" t="s">
        <v>25</v>
      </c>
    </row>
    <row r="18" customFormat="false" ht="15" hidden="false" customHeight="false" outlineLevel="0" collapsed="false">
      <c r="A18" s="2" t="s">
        <v>26</v>
      </c>
      <c r="B18" s="3" t="s">
        <v>27</v>
      </c>
    </row>
    <row r="19" customFormat="false" ht="15" hidden="false" customHeight="false" outlineLevel="0" collapsed="false">
      <c r="A19" s="2" t="s">
        <v>28</v>
      </c>
      <c r="B19" s="3" t="s">
        <v>29</v>
      </c>
    </row>
    <row r="20" customFormat="false" ht="15" hidden="false" customHeight="false" outlineLevel="0" collapsed="false">
      <c r="A20" s="2" t="s">
        <v>30</v>
      </c>
      <c r="B20" s="3" t="s">
        <v>31</v>
      </c>
    </row>
    <row r="21" customFormat="false" ht="15" hidden="false" customHeight="false" outlineLevel="0" collapsed="false">
      <c r="A21" s="2" t="s">
        <v>32</v>
      </c>
      <c r="B21" s="3" t="s">
        <v>33</v>
      </c>
    </row>
    <row r="22" customFormat="false" ht="15" hidden="false" customHeight="false" outlineLevel="0" collapsed="false">
      <c r="A22" s="2" t="s">
        <v>34</v>
      </c>
      <c r="B22" s="3" t="s">
        <v>35</v>
      </c>
    </row>
    <row r="23" customFormat="false" ht="15" hidden="false" customHeight="false" outlineLevel="0" collapsed="false">
      <c r="A23" s="2" t="s">
        <v>36</v>
      </c>
      <c r="B23" s="3" t="s">
        <v>37</v>
      </c>
    </row>
    <row r="24" customFormat="false" ht="15" hidden="false" customHeight="false" outlineLevel="0" collapsed="false">
      <c r="A24" s="2" t="s">
        <v>38</v>
      </c>
      <c r="B24" s="3" t="s">
        <v>39</v>
      </c>
    </row>
    <row r="25" customFormat="false" ht="15" hidden="false" customHeight="false" outlineLevel="0" collapsed="false">
      <c r="A25" s="2" t="s">
        <v>40</v>
      </c>
      <c r="B25" s="3" t="s">
        <v>41</v>
      </c>
    </row>
    <row r="26" customFormat="false" ht="15" hidden="false" customHeight="false" outlineLevel="0" collapsed="false">
      <c r="A26" s="2"/>
      <c r="B26" s="3"/>
    </row>
    <row r="27" customFormat="false" ht="15" hidden="false" customHeight="false" outlineLevel="0" collapsed="false">
      <c r="A27" s="2" t="s">
        <v>42</v>
      </c>
      <c r="B27" s="3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86"/>
  </cols>
  <sheetData>
    <row r="1" customFormat="false" ht="15" hidden="false" customHeight="false" outlineLevel="0" collapsed="false">
      <c r="A1" s="1" t="s">
        <v>44</v>
      </c>
    </row>
    <row r="2" customFormat="false" ht="15" hidden="false" customHeight="false" outlineLevel="0" collapsed="false">
      <c r="A2" s="5" t="s">
        <v>45</v>
      </c>
    </row>
    <row r="4" customFormat="false" ht="15" hidden="false" customHeight="false" outlineLevel="0" collapsed="false">
      <c r="A4" s="6" t="s">
        <v>46</v>
      </c>
      <c r="B4" s="7" t="s">
        <v>47</v>
      </c>
      <c r="C4" s="7" t="s">
        <v>48</v>
      </c>
      <c r="D4" s="7" t="s">
        <v>49</v>
      </c>
    </row>
    <row r="5" customFormat="false" ht="15" hidden="false" customHeight="false" outlineLevel="0" collapsed="false">
      <c r="A5" s="8" t="s">
        <v>50</v>
      </c>
    </row>
    <row r="6" customFormat="false" ht="15" hidden="false" customHeight="false" outlineLevel="0" collapsed="false">
      <c r="A6" s="9" t="s">
        <v>51</v>
      </c>
      <c r="B6" s="10" t="n">
        <v>232.57</v>
      </c>
      <c r="C6" s="9" t="s">
        <v>52</v>
      </c>
      <c r="D6" s="11" t="s">
        <v>53</v>
      </c>
    </row>
    <row r="7" customFormat="false" ht="15" hidden="false" customHeight="false" outlineLevel="0" collapsed="false">
      <c r="A7" s="9" t="s">
        <v>54</v>
      </c>
      <c r="B7" s="10" t="n">
        <v>185</v>
      </c>
      <c r="C7" s="9" t="s">
        <v>52</v>
      </c>
      <c r="D7" s="11" t="s">
        <v>55</v>
      </c>
    </row>
    <row r="8" customFormat="false" ht="15" hidden="false" customHeight="false" outlineLevel="0" collapsed="false">
      <c r="A8" s="8" t="s">
        <v>56</v>
      </c>
    </row>
    <row r="9" customFormat="false" ht="15" hidden="false" customHeight="false" outlineLevel="0" collapsed="false">
      <c r="A9" s="9" t="s">
        <v>57</v>
      </c>
      <c r="B9" s="12" t="n">
        <v>7</v>
      </c>
      <c r="C9" s="9" t="s">
        <v>58</v>
      </c>
      <c r="D9" s="11" t="s">
        <v>59</v>
      </c>
    </row>
    <row r="10" customFormat="false" ht="15" hidden="false" customHeight="false" outlineLevel="0" collapsed="false">
      <c r="A10" s="9" t="s">
        <v>60</v>
      </c>
      <c r="B10" s="12" t="n">
        <v>9</v>
      </c>
      <c r="C10" s="9" t="s">
        <v>58</v>
      </c>
      <c r="D10" s="11" t="s">
        <v>61</v>
      </c>
    </row>
    <row r="11" customFormat="false" ht="15" hidden="false" customHeight="false" outlineLevel="0" collapsed="false">
      <c r="A11" s="9" t="s">
        <v>62</v>
      </c>
      <c r="B11" s="13" t="n">
        <v>800</v>
      </c>
      <c r="C11" s="9" t="s">
        <v>63</v>
      </c>
      <c r="D11" s="11" t="s">
        <v>64</v>
      </c>
    </row>
    <row r="12" customFormat="false" ht="15" hidden="false" customHeight="false" outlineLevel="0" collapsed="false">
      <c r="A12" s="9" t="s">
        <v>65</v>
      </c>
      <c r="B12" s="13" t="n">
        <v>1000</v>
      </c>
      <c r="C12" s="9" t="s">
        <v>63</v>
      </c>
      <c r="D12" s="11" t="s">
        <v>61</v>
      </c>
    </row>
    <row r="13" customFormat="false" ht="15" hidden="false" customHeight="false" outlineLevel="0" collapsed="false">
      <c r="A13" s="9" t="s">
        <v>66</v>
      </c>
      <c r="B13" s="14" t="n">
        <v>20</v>
      </c>
      <c r="C13" s="9" t="s">
        <v>58</v>
      </c>
      <c r="D13" s="11" t="s">
        <v>61</v>
      </c>
    </row>
    <row r="14" customFormat="false" ht="15" hidden="false" customHeight="false" outlineLevel="0" collapsed="false">
      <c r="A14" s="9" t="s">
        <v>67</v>
      </c>
      <c r="B14" s="14" t="n">
        <v>25</v>
      </c>
      <c r="C14" s="9" t="s">
        <v>58</v>
      </c>
      <c r="D14" s="11" t="s">
        <v>61</v>
      </c>
    </row>
    <row r="15" customFormat="false" ht="15" hidden="false" customHeight="false" outlineLevel="0" collapsed="false">
      <c r="A15" s="9" t="s">
        <v>68</v>
      </c>
      <c r="B15" s="12" t="n">
        <v>3.34</v>
      </c>
      <c r="C15" s="9" t="s">
        <v>58</v>
      </c>
      <c r="D15" s="11" t="s">
        <v>69</v>
      </c>
    </row>
    <row r="16" customFormat="false" ht="15" hidden="false" customHeight="false" outlineLevel="0" collapsed="false">
      <c r="A16" s="9" t="s">
        <v>70</v>
      </c>
      <c r="B16" s="12" t="n">
        <v>12.3</v>
      </c>
      <c r="C16" s="9" t="s">
        <v>58</v>
      </c>
      <c r="D16" s="11" t="s">
        <v>61</v>
      </c>
    </row>
    <row r="17" customFormat="false" ht="23.85" hidden="false" customHeight="false" outlineLevel="0" collapsed="false">
      <c r="A17" s="9" t="s">
        <v>71</v>
      </c>
      <c r="B17" s="14" t="n">
        <v>12</v>
      </c>
      <c r="C17" s="9" t="s">
        <v>72</v>
      </c>
      <c r="D17" s="11" t="s">
        <v>73</v>
      </c>
    </row>
    <row r="18" customFormat="false" ht="15" hidden="false" customHeight="false" outlineLevel="0" collapsed="false">
      <c r="A18" s="9" t="s">
        <v>74</v>
      </c>
      <c r="B18" s="14" t="n">
        <v>20</v>
      </c>
      <c r="C18" s="9" t="s">
        <v>72</v>
      </c>
      <c r="D18" s="11" t="s">
        <v>61</v>
      </c>
    </row>
    <row r="19" customFormat="false" ht="15" hidden="false" customHeight="false" outlineLevel="0" collapsed="false">
      <c r="A19" s="9" t="s">
        <v>75</v>
      </c>
      <c r="B19" s="14" t="n">
        <v>25</v>
      </c>
      <c r="C19" s="9" t="s">
        <v>72</v>
      </c>
      <c r="D19" s="11" t="s">
        <v>61</v>
      </c>
    </row>
    <row r="20" customFormat="false" ht="15" hidden="false" customHeight="false" outlineLevel="0" collapsed="false">
      <c r="A20" s="9" t="s">
        <v>76</v>
      </c>
      <c r="B20" s="14" t="n">
        <v>40</v>
      </c>
      <c r="C20" s="9" t="s">
        <v>72</v>
      </c>
      <c r="D20" s="11" t="s">
        <v>77</v>
      </c>
    </row>
    <row r="21" customFormat="false" ht="15" hidden="false" customHeight="false" outlineLevel="0" collapsed="false">
      <c r="A21" s="9" t="s">
        <v>78</v>
      </c>
      <c r="B21" s="12" t="n">
        <v>1.25</v>
      </c>
      <c r="C21" s="9" t="s">
        <v>58</v>
      </c>
      <c r="D21" s="11" t="s">
        <v>79</v>
      </c>
    </row>
    <row r="22" customFormat="false" ht="15" hidden="false" customHeight="false" outlineLevel="0" collapsed="false">
      <c r="A22" s="9" t="s">
        <v>80</v>
      </c>
      <c r="B22" s="13" t="n">
        <v>170</v>
      </c>
      <c r="C22" s="9" t="s">
        <v>63</v>
      </c>
      <c r="D22" s="11" t="s">
        <v>81</v>
      </c>
    </row>
    <row r="23" customFormat="false" ht="15" hidden="false" customHeight="false" outlineLevel="0" collapsed="false">
      <c r="A23" s="9" t="s">
        <v>82</v>
      </c>
      <c r="B23" s="14" t="n">
        <v>5</v>
      </c>
      <c r="C23" s="9" t="s">
        <v>83</v>
      </c>
      <c r="D23" s="11" t="s">
        <v>84</v>
      </c>
    </row>
    <row r="24" customFormat="false" ht="15" hidden="false" customHeight="false" outlineLevel="0" collapsed="false">
      <c r="A24" s="8" t="s">
        <v>85</v>
      </c>
    </row>
    <row r="25" customFormat="false" ht="23.85" hidden="false" customHeight="false" outlineLevel="0" collapsed="false">
      <c r="A25" s="9" t="s">
        <v>86</v>
      </c>
      <c r="B25" s="14" t="n">
        <v>30</v>
      </c>
      <c r="C25" s="9" t="s">
        <v>87</v>
      </c>
      <c r="D25" s="11" t="s">
        <v>88</v>
      </c>
    </row>
    <row r="26" customFormat="false" ht="15" hidden="false" customHeight="false" outlineLevel="0" collapsed="false">
      <c r="A26" s="9" t="s">
        <v>89</v>
      </c>
      <c r="B26" s="15" t="n">
        <v>0.8</v>
      </c>
      <c r="C26" s="9" t="s">
        <v>90</v>
      </c>
      <c r="D26" s="11" t="s">
        <v>91</v>
      </c>
    </row>
    <row r="27" customFormat="false" ht="15" hidden="false" customHeight="false" outlineLevel="0" collapsed="false">
      <c r="A27" s="9" t="s">
        <v>92</v>
      </c>
      <c r="B27" s="13" t="n">
        <v>5</v>
      </c>
      <c r="C27" s="9" t="s">
        <v>93</v>
      </c>
      <c r="D27" s="11" t="s">
        <v>94</v>
      </c>
    </row>
    <row r="28" customFormat="false" ht="15" hidden="false" customHeight="false" outlineLevel="0" collapsed="false">
      <c r="A28" s="9" t="s">
        <v>95</v>
      </c>
      <c r="B28" s="13" t="n">
        <v>20</v>
      </c>
      <c r="C28" s="9" t="s">
        <v>93</v>
      </c>
      <c r="D28" s="11" t="s">
        <v>91</v>
      </c>
    </row>
    <row r="29" customFormat="false" ht="15" hidden="false" customHeight="false" outlineLevel="0" collapsed="false">
      <c r="A29" s="9" t="s">
        <v>96</v>
      </c>
      <c r="B29" s="16" t="n">
        <v>0.5</v>
      </c>
      <c r="C29" s="9" t="s">
        <v>90</v>
      </c>
      <c r="D29" s="11" t="s">
        <v>97</v>
      </c>
    </row>
    <row r="30" customFormat="false" ht="15" hidden="false" customHeight="false" outlineLevel="0" collapsed="false">
      <c r="A30" s="8" t="s">
        <v>98</v>
      </c>
    </row>
    <row r="31" customFormat="false" ht="15" hidden="false" customHeight="false" outlineLevel="0" collapsed="false">
      <c r="A31" s="9" t="s">
        <v>99</v>
      </c>
      <c r="B31" s="17" t="n">
        <v>238.400165</v>
      </c>
      <c r="C31" s="9" t="s">
        <v>100</v>
      </c>
      <c r="D31" s="11" t="s">
        <v>101</v>
      </c>
    </row>
    <row r="32" customFormat="false" ht="15" hidden="false" customHeight="false" outlineLevel="0" collapsed="false">
      <c r="A32" s="9" t="s">
        <v>102</v>
      </c>
      <c r="B32" s="17" t="n">
        <v>33.455053</v>
      </c>
      <c r="C32" s="9" t="s">
        <v>100</v>
      </c>
      <c r="D32" s="11" t="s">
        <v>103</v>
      </c>
    </row>
    <row r="33" customFormat="false" ht="15" hidden="false" customHeight="false" outlineLevel="0" collapsed="false">
      <c r="A33" s="9" t="s">
        <v>104</v>
      </c>
      <c r="B33" s="17" t="n">
        <v>21.065936</v>
      </c>
      <c r="C33" s="9" t="s">
        <v>105</v>
      </c>
      <c r="D33" s="11" t="s">
        <v>106</v>
      </c>
    </row>
    <row r="34" customFormat="false" ht="15" hidden="false" customHeight="false" outlineLevel="0" collapsed="false">
      <c r="A34" s="9" t="s">
        <v>107</v>
      </c>
      <c r="B34" s="14" t="n">
        <v>15.8</v>
      </c>
      <c r="C34" s="9" t="s">
        <v>100</v>
      </c>
      <c r="D34" s="11" t="s">
        <v>108</v>
      </c>
    </row>
    <row r="35" customFormat="false" ht="15" hidden="false" customHeight="false" outlineLevel="0" collapsed="false">
      <c r="A35" s="9" t="s">
        <v>109</v>
      </c>
      <c r="B35" s="17" t="n">
        <v>6.7406</v>
      </c>
      <c r="C35" s="9" t="s">
        <v>100</v>
      </c>
      <c r="D35" s="11" t="s">
        <v>110</v>
      </c>
    </row>
    <row r="36" customFormat="false" ht="15" hidden="false" customHeight="false" outlineLevel="0" collapsed="false">
      <c r="A36" s="9" t="s">
        <v>111</v>
      </c>
      <c r="B36" s="10" t="n">
        <v>88.65</v>
      </c>
      <c r="C36" s="9" t="s">
        <v>52</v>
      </c>
      <c r="D36" s="11" t="s">
        <v>61</v>
      </c>
    </row>
    <row r="37" customFormat="false" ht="15" hidden="false" customHeight="false" outlineLevel="0" collapsed="false">
      <c r="A37" s="9" t="s">
        <v>112</v>
      </c>
      <c r="B37" s="17" t="n">
        <v>6.234091</v>
      </c>
      <c r="C37" s="9" t="s">
        <v>100</v>
      </c>
      <c r="D37" s="11" t="s">
        <v>113</v>
      </c>
    </row>
    <row r="38" customFormat="false" ht="15" hidden="false" customHeight="false" outlineLevel="0" collapsed="false">
      <c r="A38" s="9" t="s">
        <v>114</v>
      </c>
      <c r="B38" s="14" t="n">
        <v>8042.1</v>
      </c>
      <c r="C38" s="9" t="s">
        <v>87</v>
      </c>
      <c r="D38" s="11" t="s">
        <v>61</v>
      </c>
    </row>
    <row r="39" customFormat="false" ht="15" hidden="false" customHeight="false" outlineLevel="0" collapsed="false">
      <c r="A39" s="9" t="s">
        <v>115</v>
      </c>
      <c r="B39" s="14" t="n">
        <v>1056</v>
      </c>
      <c r="C39" s="9" t="s">
        <v>87</v>
      </c>
      <c r="D39" s="11" t="s">
        <v>61</v>
      </c>
    </row>
    <row r="40" customFormat="false" ht="15" hidden="false" customHeight="false" outlineLevel="0" collapsed="false">
      <c r="A40" s="9" t="s">
        <v>116</v>
      </c>
      <c r="B40" s="14" t="n">
        <v>775</v>
      </c>
      <c r="C40" s="9" t="s">
        <v>87</v>
      </c>
      <c r="D40" s="11" t="s">
        <v>117</v>
      </c>
    </row>
    <row r="41" customFormat="false" ht="23.85" hidden="false" customHeight="false" outlineLevel="0" collapsed="false">
      <c r="A41" s="9" t="s">
        <v>118</v>
      </c>
      <c r="B41" s="14" t="n">
        <v>14500</v>
      </c>
      <c r="C41" s="9" t="s">
        <v>87</v>
      </c>
      <c r="D41" s="11" t="s">
        <v>119</v>
      </c>
    </row>
    <row r="42" customFormat="false" ht="15" hidden="false" customHeight="false" outlineLevel="0" collapsed="false">
      <c r="A42" s="9" t="s">
        <v>120</v>
      </c>
      <c r="B42" s="14" t="n">
        <v>979.4</v>
      </c>
      <c r="C42" s="9" t="s">
        <v>87</v>
      </c>
      <c r="D42" s="11" t="s">
        <v>121</v>
      </c>
    </row>
    <row r="43" customFormat="false" ht="15" hidden="false" customHeight="false" outlineLevel="0" collapsed="false">
      <c r="A43" s="9" t="s">
        <v>122</v>
      </c>
      <c r="B43" s="14" t="n">
        <v>4995.8</v>
      </c>
      <c r="C43" s="9" t="s">
        <v>87</v>
      </c>
      <c r="D43" s="11" t="s">
        <v>61</v>
      </c>
    </row>
    <row r="44" customFormat="false" ht="15" hidden="false" customHeight="false" outlineLevel="0" collapsed="false">
      <c r="A44" s="9" t="s">
        <v>123</v>
      </c>
      <c r="B44" s="12" t="n">
        <v>37.49</v>
      </c>
      <c r="C44" s="9" t="s">
        <v>58</v>
      </c>
      <c r="D44" s="11" t="s">
        <v>61</v>
      </c>
    </row>
    <row r="45" customFormat="false" ht="15" hidden="false" customHeight="false" outlineLevel="0" collapsed="false">
      <c r="A45" s="9" t="s">
        <v>124</v>
      </c>
      <c r="B45" s="17" t="n">
        <v>12.729493</v>
      </c>
      <c r="C45" s="9" t="s">
        <v>100</v>
      </c>
      <c r="D45" s="11" t="s">
        <v>125</v>
      </c>
    </row>
    <row r="46" customFormat="false" ht="15" hidden="false" customHeight="false" outlineLevel="0" collapsed="false">
      <c r="A46" s="9" t="s">
        <v>126</v>
      </c>
      <c r="B46" s="10" t="n">
        <v>223.6</v>
      </c>
      <c r="C46" s="9" t="s">
        <v>52</v>
      </c>
      <c r="D46" s="11" t="s">
        <v>61</v>
      </c>
    </row>
    <row r="47" customFormat="false" ht="15" hidden="false" customHeight="false" outlineLevel="0" collapsed="false">
      <c r="A47" s="9" t="s">
        <v>127</v>
      </c>
      <c r="B47" s="12" t="n">
        <v>2.81</v>
      </c>
      <c r="C47" s="9" t="s">
        <v>58</v>
      </c>
      <c r="D47" s="11" t="s">
        <v>61</v>
      </c>
    </row>
    <row r="48" customFormat="false" ht="15" hidden="false" customHeight="false" outlineLevel="0" collapsed="false">
      <c r="A48" s="8" t="s">
        <v>128</v>
      </c>
    </row>
    <row r="49" customFormat="false" ht="15" hidden="false" customHeight="false" outlineLevel="0" collapsed="false">
      <c r="A49" s="9" t="s">
        <v>129</v>
      </c>
      <c r="B49" s="12" t="n">
        <v>46.78</v>
      </c>
      <c r="C49" s="9" t="s">
        <v>105</v>
      </c>
      <c r="D49" s="11" t="s">
        <v>130</v>
      </c>
    </row>
    <row r="50" customFormat="false" ht="15" hidden="false" customHeight="false" outlineLevel="0" collapsed="false">
      <c r="A50" s="9" t="s">
        <v>131</v>
      </c>
      <c r="B50" s="16" t="n">
        <v>0.198</v>
      </c>
      <c r="C50" s="9" t="s">
        <v>90</v>
      </c>
      <c r="D50" s="11" t="s">
        <v>61</v>
      </c>
    </row>
    <row r="51" customFormat="false" ht="15" hidden="false" customHeight="false" outlineLevel="0" collapsed="false">
      <c r="A51" s="9" t="s">
        <v>132</v>
      </c>
      <c r="B51" s="15" t="n">
        <v>0.24</v>
      </c>
      <c r="C51" s="9" t="s">
        <v>90</v>
      </c>
      <c r="D51" s="11" t="s">
        <v>133</v>
      </c>
    </row>
    <row r="52" customFormat="false" ht="15" hidden="false" customHeight="false" outlineLevel="0" collapsed="false">
      <c r="A52" s="9" t="s">
        <v>134</v>
      </c>
      <c r="B52" s="15" t="n">
        <v>0.21</v>
      </c>
      <c r="C52" s="9" t="s">
        <v>90</v>
      </c>
      <c r="D52" s="11" t="s">
        <v>61</v>
      </c>
    </row>
    <row r="53" customFormat="false" ht="15" hidden="false" customHeight="false" outlineLevel="0" collapsed="false">
      <c r="A53" s="9" t="s">
        <v>135</v>
      </c>
      <c r="B53" s="15" t="n">
        <v>0.14</v>
      </c>
      <c r="C53" s="9" t="s">
        <v>90</v>
      </c>
      <c r="D53" s="11" t="s">
        <v>61</v>
      </c>
    </row>
    <row r="54" customFormat="false" ht="15" hidden="false" customHeight="false" outlineLevel="0" collapsed="false">
      <c r="A54" s="2" t="s">
        <v>136</v>
      </c>
      <c r="B54" s="18" t="n">
        <f aca="false">$B$51+$B$52+$B$53</f>
        <v>0.59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7" min="2" style="0" width="11"/>
    <col collapsed="false" customWidth="true" hidden="false" outlineLevel="0" max="9" min="8" style="0" width="15"/>
  </cols>
  <sheetData>
    <row r="1" customFormat="false" ht="15" hidden="false" customHeight="false" outlineLevel="0" collapsed="false">
      <c r="A1" s="1" t="s">
        <v>137</v>
      </c>
    </row>
    <row r="2" customFormat="false" ht="15" hidden="false" customHeight="false" outlineLevel="0" collapsed="false">
      <c r="A2" s="5" t="s">
        <v>138</v>
      </c>
    </row>
    <row r="4" customFormat="false" ht="23.85" hidden="false" customHeight="false" outlineLevel="0" collapsed="false">
      <c r="A4" s="6"/>
      <c r="B4" s="7" t="s">
        <v>139</v>
      </c>
      <c r="C4" s="7" t="s">
        <v>140</v>
      </c>
      <c r="D4" s="7" t="s">
        <v>141</v>
      </c>
      <c r="E4" s="7" t="s">
        <v>142</v>
      </c>
      <c r="F4" s="7" t="s">
        <v>143</v>
      </c>
      <c r="G4" s="7" t="s">
        <v>144</v>
      </c>
      <c r="H4" s="7" t="s">
        <v>145</v>
      </c>
      <c r="I4" s="7" t="s">
        <v>146</v>
      </c>
    </row>
    <row r="5" customFormat="false" ht="15" hidden="false" customHeight="false" outlineLevel="0" collapsed="false">
      <c r="A5" s="9" t="s">
        <v>147</v>
      </c>
      <c r="B5" s="14" t="n">
        <v>50.9</v>
      </c>
      <c r="C5" s="14" t="n">
        <v>105.1</v>
      </c>
      <c r="D5" s="14" t="n">
        <v>146.1</v>
      </c>
      <c r="E5" s="14" t="n">
        <v>227.7</v>
      </c>
      <c r="F5" s="14" t="n">
        <v>399</v>
      </c>
      <c r="G5" s="14" t="n">
        <v>582.3</v>
      </c>
      <c r="H5" s="19" t="n">
        <f aca="false">Inputs!$B$15*1000</f>
        <v>3340</v>
      </c>
      <c r="I5" s="19" t="n">
        <f aca="false">Inputs!$B$16*1000</f>
        <v>12300</v>
      </c>
    </row>
    <row r="6" customFormat="false" ht="15" hidden="false" customHeight="false" outlineLevel="0" collapsed="false">
      <c r="A6" s="9" t="s">
        <v>148</v>
      </c>
      <c r="C6" s="20" t="n">
        <f aca="false">C5/B5-1</f>
        <v>1.06483300589391</v>
      </c>
      <c r="D6" s="20" t="n">
        <f aca="false">D5/C5-1</f>
        <v>0.390104662226451</v>
      </c>
      <c r="E6" s="20" t="n">
        <f aca="false">E5/D5-1</f>
        <v>0.558521560574949</v>
      </c>
      <c r="F6" s="20" t="n">
        <f aca="false">F5/E5-1</f>
        <v>0.752305665349144</v>
      </c>
      <c r="G6" s="20" t="n">
        <f aca="false">G5/F5-1</f>
        <v>0.459398496240602</v>
      </c>
      <c r="I6" s="20" t="n">
        <f aca="false">I5/H5-1</f>
        <v>2.68263473053892</v>
      </c>
    </row>
    <row r="7" customFormat="false" ht="15" hidden="false" customHeight="false" outlineLevel="0" collapsed="false">
      <c r="A7" s="9" t="s">
        <v>149</v>
      </c>
      <c r="B7" s="12" t="n">
        <v>0.25</v>
      </c>
      <c r="C7" s="12" t="n">
        <v>0.43</v>
      </c>
      <c r="D7" s="12" t="n">
        <v>0.55</v>
      </c>
      <c r="E7" s="12" t="n">
        <v>1.25</v>
      </c>
      <c r="F7" s="12" t="n">
        <v>1.92</v>
      </c>
      <c r="G7" s="12" t="n">
        <v>3</v>
      </c>
      <c r="H7" s="21" t="s">
        <v>150</v>
      </c>
    </row>
    <row r="8" customFormat="false" ht="15" hidden="false" customHeight="false" outlineLevel="0" collapsed="false">
      <c r="A8" s="9" t="s">
        <v>151</v>
      </c>
      <c r="C8" s="20" t="n">
        <f aca="false">C7/B7-1</f>
        <v>0.72</v>
      </c>
      <c r="D8" s="20" t="n">
        <f aca="false">D7/C7-1</f>
        <v>0.279069767441861</v>
      </c>
      <c r="E8" s="20" t="n">
        <f aca="false">E7/D7-1</f>
        <v>1.27272727272727</v>
      </c>
      <c r="F8" s="20" t="n">
        <f aca="false">F7/E7-1</f>
        <v>0.536</v>
      </c>
      <c r="G8" s="20" t="n">
        <f aca="false">G7/F7-1</f>
        <v>0.5625</v>
      </c>
    </row>
    <row r="9" customFormat="false" ht="15" hidden="false" customHeight="false" outlineLevel="0" collapsed="false">
      <c r="A9" s="9" t="s">
        <v>152</v>
      </c>
      <c r="B9" s="14" t="n">
        <v>544</v>
      </c>
      <c r="C9" s="14" t="n">
        <v>510.6</v>
      </c>
      <c r="D9" s="14" t="n">
        <v>955.5</v>
      </c>
      <c r="E9" s="14" t="n">
        <v>2100</v>
      </c>
      <c r="F9" s="14" t="n">
        <v>2500</v>
      </c>
      <c r="G9" s="14" t="n">
        <v>5700</v>
      </c>
      <c r="H9" s="21" t="s">
        <v>153</v>
      </c>
    </row>
    <row r="10" customFormat="false" ht="15" hidden="false" customHeight="false" outlineLevel="0" collapsed="false">
      <c r="A10" s="9" t="s">
        <v>154</v>
      </c>
      <c r="B10" s="22" t="n">
        <f aca="false">B9/B5</f>
        <v>10.6876227897839</v>
      </c>
      <c r="C10" s="22" t="n">
        <f aca="false">C9/C5</f>
        <v>4.85823025689819</v>
      </c>
      <c r="D10" s="22" t="n">
        <f aca="false">D9/D5</f>
        <v>6.54004106776181</v>
      </c>
      <c r="E10" s="22" t="n">
        <f aca="false">E9/E5</f>
        <v>9.22266139657444</v>
      </c>
      <c r="F10" s="22" t="n">
        <f aca="false">F9/F5</f>
        <v>6.265664160401</v>
      </c>
      <c r="G10" s="22" t="n">
        <f aca="false">G9/G5</f>
        <v>9.78876867594024</v>
      </c>
    </row>
    <row r="11" customFormat="false" ht="15" hidden="false" customHeight="false" outlineLevel="0" collapsed="false">
      <c r="A11" s="9" t="s">
        <v>155</v>
      </c>
      <c r="B11" s="21" t="s">
        <v>156</v>
      </c>
      <c r="C11" s="21" t="s">
        <v>156</v>
      </c>
      <c r="D11" s="16" t="n">
        <v>0.19</v>
      </c>
      <c r="E11" s="16" t="n">
        <v>0.24</v>
      </c>
      <c r="F11" s="16" t="n">
        <v>0.45</v>
      </c>
      <c r="G11" s="16" t="n">
        <v>0.497</v>
      </c>
    </row>
    <row r="12" customFormat="false" ht="15" hidden="false" customHeight="false" outlineLevel="0" collapsed="false">
      <c r="A12" s="9" t="s">
        <v>157</v>
      </c>
      <c r="H12" s="21" t="s">
        <v>158</v>
      </c>
    </row>
    <row r="13" customFormat="false" ht="15" hidden="false" customHeight="false" outlineLevel="0" collapsed="false">
      <c r="A13" s="9" t="s">
        <v>159</v>
      </c>
      <c r="E13" s="19" t="n">
        <f aca="false">Inputs!$B$22</f>
        <v>170</v>
      </c>
    </row>
    <row r="15" customFormat="false" ht="15" hidden="false" customHeight="false" outlineLevel="0" collapsed="false">
      <c r="A15" s="23" t="s">
        <v>160</v>
      </c>
      <c r="B15" s="24" t="n">
        <f aca="false">Inputs!$B$9/G7</f>
        <v>2.33333333333333</v>
      </c>
    </row>
    <row r="16" customFormat="false" ht="15" hidden="false" customHeight="false" outlineLevel="0" collapsed="false">
      <c r="A16" s="9" t="s">
        <v>161</v>
      </c>
      <c r="B16" s="25" t="n">
        <f aca="false">Inputs!$B$10/G7</f>
        <v>3</v>
      </c>
    </row>
    <row r="17" customFormat="false" ht="15" hidden="false" customHeight="false" outlineLevel="0" collapsed="false">
      <c r="A17" s="9" t="s">
        <v>162</v>
      </c>
      <c r="B17" s="19" t="n">
        <f aca="false">F9+G9</f>
        <v>8200</v>
      </c>
    </row>
    <row r="18" customFormat="false" ht="15" hidden="false" customHeight="false" outlineLevel="0" collapsed="false">
      <c r="A18" s="9" t="s">
        <v>163</v>
      </c>
      <c r="B18" s="19" t="n">
        <f aca="false">Inputs!$B$13*1000-B17</f>
        <v>11800</v>
      </c>
    </row>
    <row r="19" customFormat="false" ht="15" hidden="false" customHeight="false" outlineLevel="0" collapsed="false">
      <c r="A19" s="9" t="s">
        <v>164</v>
      </c>
      <c r="B19" s="19" t="n">
        <f aca="false">Inputs!$B$14*1000-B17</f>
        <v>16800</v>
      </c>
    </row>
    <row r="20" customFormat="false" ht="15" hidden="false" customHeight="false" outlineLevel="0" collapsed="false">
      <c r="A20" s="9" t="s">
        <v>165</v>
      </c>
      <c r="B20" s="25" t="n">
        <f aca="false">Inputs!$B$16/Inputs!$B$10</f>
        <v>1.36666666666667</v>
      </c>
    </row>
    <row r="22" customFormat="false" ht="15" hidden="false" customHeight="false" outlineLevel="0" collapsed="false">
      <c r="A22" s="5" t="s">
        <v>166</v>
      </c>
    </row>
    <row r="23" customFormat="false" ht="15" hidden="false" customHeight="false" outlineLevel="0" collapsed="false">
      <c r="A23" s="5" t="s">
        <v>167</v>
      </c>
    </row>
    <row r="24" customFormat="false" ht="15" hidden="false" customHeight="false" outlineLevel="0" collapsed="false">
      <c r="A24" s="5" t="s">
        <v>168</v>
      </c>
    </row>
    <row r="25" customFormat="false" ht="15" hidden="false" customHeight="false" outlineLevel="0" collapsed="false">
      <c r="A25" s="5" t="s">
        <v>169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16"/>
    <col collapsed="false" customWidth="true" hidden="false" outlineLevel="0" max="4" min="4" style="0" width="50"/>
  </cols>
  <sheetData>
    <row r="1" customFormat="false" ht="15" hidden="false" customHeight="false" outlineLevel="0" collapsed="false">
      <c r="A1" s="1" t="s">
        <v>170</v>
      </c>
    </row>
    <row r="2" customFormat="false" ht="15" hidden="false" customHeight="false" outlineLevel="0" collapsed="false">
      <c r="A2" s="5" t="s">
        <v>171</v>
      </c>
    </row>
    <row r="4" customFormat="false" ht="15" hidden="false" customHeight="false" outlineLevel="0" collapsed="false">
      <c r="A4" s="6" t="s">
        <v>172</v>
      </c>
      <c r="B4" s="7" t="s">
        <v>173</v>
      </c>
      <c r="C4" s="7" t="s">
        <v>174</v>
      </c>
      <c r="D4" s="7" t="s">
        <v>175</v>
      </c>
    </row>
    <row r="5" customFormat="false" ht="15" hidden="false" customHeight="false" outlineLevel="0" collapsed="false">
      <c r="A5" s="9" t="s">
        <v>176</v>
      </c>
      <c r="B5" s="19" t="n">
        <f aca="false">Inputs!$B$11</f>
        <v>800</v>
      </c>
      <c r="C5" s="19" t="n">
        <f aca="false">Inputs!$B$11</f>
        <v>800</v>
      </c>
      <c r="D5" s="9" t="s">
        <v>177</v>
      </c>
    </row>
    <row r="6" customFormat="false" ht="15" hidden="false" customHeight="false" outlineLevel="0" collapsed="false">
      <c r="A6" s="9" t="s">
        <v>178</v>
      </c>
      <c r="B6" s="26" t="n">
        <f aca="false">Inputs!$B$18</f>
        <v>20</v>
      </c>
      <c r="C6" s="26" t="n">
        <f aca="false">Inputs!$B$19</f>
        <v>25</v>
      </c>
      <c r="D6" s="9" t="s">
        <v>179</v>
      </c>
    </row>
    <row r="7" customFormat="false" ht="15" hidden="false" customHeight="false" outlineLevel="0" collapsed="false">
      <c r="A7" s="23" t="s">
        <v>180</v>
      </c>
      <c r="B7" s="27" t="n">
        <f aca="false">B5*B6/1000</f>
        <v>16</v>
      </c>
      <c r="C7" s="27" t="n">
        <f aca="false">C5*C6/1000</f>
        <v>20</v>
      </c>
      <c r="D7" s="9" t="s">
        <v>181</v>
      </c>
    </row>
    <row r="8" customFormat="false" ht="15" hidden="false" customHeight="false" outlineLevel="0" collapsed="false">
      <c r="A8" s="9" t="s">
        <v>182</v>
      </c>
      <c r="B8" s="26" t="n">
        <f aca="false">Inputs!$B$9</f>
        <v>7</v>
      </c>
      <c r="C8" s="26" t="n">
        <f aca="false">Inputs!$B$10</f>
        <v>9</v>
      </c>
      <c r="D8" s="9" t="s">
        <v>183</v>
      </c>
    </row>
    <row r="9" customFormat="false" ht="15" hidden="false" customHeight="false" outlineLevel="0" collapsed="false">
      <c r="A9" s="9" t="s">
        <v>184</v>
      </c>
      <c r="B9" s="26" t="n">
        <f aca="false">B7-B8</f>
        <v>9</v>
      </c>
      <c r="C9" s="26" t="n">
        <f aca="false">C7-C8</f>
        <v>11</v>
      </c>
    </row>
    <row r="11" customFormat="false" ht="15" hidden="false" customHeight="false" outlineLevel="0" collapsed="false">
      <c r="A11" s="23" t="s">
        <v>185</v>
      </c>
    </row>
    <row r="12" customFormat="false" ht="15" hidden="false" customHeight="false" outlineLevel="0" collapsed="false">
      <c r="A12" s="9" t="s">
        <v>186</v>
      </c>
      <c r="B12" s="26" t="n">
        <f aca="false">Inputs!$B$17</f>
        <v>12</v>
      </c>
      <c r="C12" s="26" t="n">
        <f aca="false">Inputs!$B$17</f>
        <v>12</v>
      </c>
      <c r="D12" s="9" t="s">
        <v>187</v>
      </c>
    </row>
    <row r="13" customFormat="false" ht="15" hidden="false" customHeight="false" outlineLevel="0" collapsed="false">
      <c r="A13" s="23" t="s">
        <v>188</v>
      </c>
      <c r="B13" s="28" t="n">
        <f aca="false">B8*1000/B12</f>
        <v>583.333333333333</v>
      </c>
      <c r="C13" s="28" t="n">
        <f aca="false">C8*1000/C12</f>
        <v>750</v>
      </c>
      <c r="D13" s="9" t="s">
        <v>189</v>
      </c>
    </row>
    <row r="14" customFormat="false" ht="15" hidden="false" customHeight="false" outlineLevel="0" collapsed="false">
      <c r="A14" s="9" t="s">
        <v>190</v>
      </c>
      <c r="B14" s="19" t="n">
        <f aca="false">B5-B13</f>
        <v>216.666666666667</v>
      </c>
      <c r="C14" s="19" t="n">
        <f aca="false">C5-C13</f>
        <v>50</v>
      </c>
      <c r="D14" s="9" t="s">
        <v>191</v>
      </c>
    </row>
    <row r="15" customFormat="false" ht="15" hidden="false" customHeight="false" outlineLevel="0" collapsed="false">
      <c r="A15" s="9" t="s">
        <v>192</v>
      </c>
      <c r="B15" s="20" t="n">
        <f aca="false">B13/B5</f>
        <v>0.729166666666667</v>
      </c>
      <c r="C15" s="20" t="n">
        <f aca="false">C13/C5</f>
        <v>0.9375</v>
      </c>
    </row>
    <row r="17" customFormat="false" ht="15" hidden="false" customHeight="false" outlineLevel="0" collapsed="false">
      <c r="A17" s="23" t="s">
        <v>193</v>
      </c>
    </row>
    <row r="18" customFormat="false" ht="15" hidden="false" customHeight="false" outlineLevel="0" collapsed="false">
      <c r="A18" s="9" t="s">
        <v>194</v>
      </c>
      <c r="B18" s="29" t="n">
        <f aca="false">Inputs!$B$21</f>
        <v>1.25</v>
      </c>
    </row>
    <row r="19" customFormat="false" ht="15" hidden="false" customHeight="false" outlineLevel="0" collapsed="false">
      <c r="A19" s="9" t="s">
        <v>195</v>
      </c>
      <c r="B19" s="19" t="n">
        <f aca="false">Inputs!$B$22</f>
        <v>170</v>
      </c>
    </row>
    <row r="20" customFormat="false" ht="15" hidden="false" customHeight="false" outlineLevel="0" collapsed="false">
      <c r="A20" s="23" t="s">
        <v>196</v>
      </c>
      <c r="B20" s="30" t="n">
        <f aca="false">B18*1000/B19</f>
        <v>7.35294117647059</v>
      </c>
      <c r="D20" s="9" t="s">
        <v>197</v>
      </c>
    </row>
    <row r="22" customFormat="false" ht="15" hidden="false" customHeight="false" outlineLevel="0" collapsed="false">
      <c r="A22" s="31" t="s">
        <v>198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6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" t="s">
        <v>199</v>
      </c>
    </row>
    <row r="2" customFormat="false" ht="15" hidden="false" customHeight="false" outlineLevel="0" collapsed="false">
      <c r="A2" s="5" t="s">
        <v>200</v>
      </c>
    </row>
    <row r="4" customFormat="false" ht="15" hidden="false" customHeight="false" outlineLevel="0" collapsed="false">
      <c r="A4" s="6" t="s">
        <v>201</v>
      </c>
      <c r="B4" s="7" t="s">
        <v>47</v>
      </c>
      <c r="C4" s="7"/>
      <c r="D4" s="7"/>
      <c r="E4" s="7" t="s">
        <v>175</v>
      </c>
    </row>
    <row r="5" customFormat="false" ht="15" hidden="false" customHeight="false" outlineLevel="0" collapsed="false">
      <c r="A5" s="9" t="s">
        <v>86</v>
      </c>
      <c r="B5" s="26" t="n">
        <f aca="false">Inputs!$B$25</f>
        <v>30</v>
      </c>
    </row>
    <row r="6" customFormat="false" ht="15" hidden="false" customHeight="false" outlineLevel="0" collapsed="false">
      <c r="A6" s="9" t="s">
        <v>202</v>
      </c>
      <c r="B6" s="20" t="n">
        <f aca="false">Inputs!$B$26</f>
        <v>0.8</v>
      </c>
    </row>
    <row r="7" customFormat="false" ht="15" hidden="false" customHeight="false" outlineLevel="0" collapsed="false">
      <c r="A7" s="9" t="s">
        <v>203</v>
      </c>
      <c r="B7" s="29" t="n">
        <f aca="false">B5*B6/Inputs!$B$27</f>
        <v>4.8</v>
      </c>
      <c r="E7" s="9" t="s">
        <v>204</v>
      </c>
    </row>
    <row r="8" customFormat="false" ht="15" hidden="false" customHeight="false" outlineLevel="0" collapsed="false">
      <c r="A8" s="9" t="s">
        <v>205</v>
      </c>
      <c r="B8" s="29" t="n">
        <f aca="false">B5*(1-B6)/Inputs!$B$28</f>
        <v>0.3</v>
      </c>
      <c r="E8" s="9" t="s">
        <v>206</v>
      </c>
    </row>
    <row r="9" customFormat="false" ht="15" hidden="false" customHeight="false" outlineLevel="0" collapsed="false">
      <c r="A9" s="23" t="s">
        <v>207</v>
      </c>
      <c r="B9" s="30" t="n">
        <f aca="false">B7+B8</f>
        <v>5.1</v>
      </c>
    </row>
    <row r="10" customFormat="false" ht="15" hidden="false" customHeight="false" outlineLevel="0" collapsed="false">
      <c r="A10" s="9" t="s">
        <v>208</v>
      </c>
      <c r="B10" s="32" t="n">
        <f aca="false">Inputs!$B$29</f>
        <v>0.5</v>
      </c>
    </row>
    <row r="12" customFormat="false" ht="15" hidden="false" customHeight="false" outlineLevel="0" collapsed="false">
      <c r="A12" s="6" t="s">
        <v>209</v>
      </c>
      <c r="B12" s="7" t="s">
        <v>210</v>
      </c>
      <c r="C12" s="7" t="s">
        <v>211</v>
      </c>
      <c r="D12" s="7" t="s">
        <v>212</v>
      </c>
      <c r="E12" s="7" t="s">
        <v>213</v>
      </c>
    </row>
    <row r="13" customFormat="false" ht="15" hidden="false" customHeight="false" outlineLevel="0" collapsed="false">
      <c r="A13" s="9" t="s">
        <v>214</v>
      </c>
      <c r="B13" s="26" t="n">
        <f aca="false">Inputs!$B$17</f>
        <v>12</v>
      </c>
      <c r="C13" s="29" t="n">
        <f aca="false">B13*$B$10</f>
        <v>6</v>
      </c>
      <c r="D13" s="30" t="n">
        <f aca="false">C13-$B$9</f>
        <v>0.9</v>
      </c>
      <c r="E13" s="18" t="n">
        <f aca="false">D13/$B$5</f>
        <v>0.03</v>
      </c>
    </row>
    <row r="14" customFormat="false" ht="15" hidden="false" customHeight="false" outlineLevel="0" collapsed="false">
      <c r="A14" s="9" t="s">
        <v>215</v>
      </c>
      <c r="B14" s="26" t="n">
        <f aca="false">Inputs!$B$18</f>
        <v>20</v>
      </c>
      <c r="C14" s="29" t="n">
        <f aca="false">B14*$B$10</f>
        <v>10</v>
      </c>
      <c r="D14" s="30" t="n">
        <f aca="false">C14-$B$9</f>
        <v>4.9</v>
      </c>
      <c r="E14" s="18" t="n">
        <f aca="false">D14/$B$5</f>
        <v>0.163333333333333</v>
      </c>
    </row>
    <row r="15" customFormat="false" ht="15" hidden="false" customHeight="false" outlineLevel="0" collapsed="false">
      <c r="A15" s="9" t="s">
        <v>216</v>
      </c>
      <c r="B15" s="26" t="n">
        <f aca="false">Inputs!$B$19</f>
        <v>25</v>
      </c>
      <c r="C15" s="29" t="n">
        <f aca="false">B15*$B$10</f>
        <v>12.5</v>
      </c>
      <c r="D15" s="30" t="n">
        <f aca="false">C15-$B$9</f>
        <v>7.4</v>
      </c>
      <c r="E15" s="18" t="n">
        <f aca="false">D15/$B$5</f>
        <v>0.246666666666667</v>
      </c>
    </row>
    <row r="17" customFormat="false" ht="15" hidden="false" customHeight="false" outlineLevel="0" collapsed="false">
      <c r="A17" s="31" t="s">
        <v>217</v>
      </c>
    </row>
    <row r="18" customFormat="false" ht="15" hidden="false" customHeight="false" outlineLevel="0" collapsed="false">
      <c r="A18" s="31" t="s">
        <v>218</v>
      </c>
    </row>
    <row r="20" customFormat="false" ht="15" hidden="false" customHeight="false" outlineLevel="0" collapsed="false">
      <c r="A20" s="23" t="s">
        <v>219</v>
      </c>
    </row>
    <row r="21" customFormat="false" ht="15" hidden="false" customHeight="false" outlineLevel="0" collapsed="false">
      <c r="A21" s="9" t="s">
        <v>220</v>
      </c>
      <c r="B21" s="29" t="n">
        <f aca="false">B9/B10</f>
        <v>10.2</v>
      </c>
    </row>
    <row r="22" customFormat="false" ht="15" hidden="false" customHeight="false" outlineLevel="0" collapsed="false">
      <c r="A22" s="9" t="s">
        <v>221</v>
      </c>
      <c r="B22" s="29" t="n">
        <f aca="false">(B9+0.1*B5)/B10</f>
        <v>16.2</v>
      </c>
    </row>
    <row r="23" customFormat="false" ht="15" hidden="false" customHeight="false" outlineLevel="0" collapsed="false">
      <c r="A23" s="9" t="s">
        <v>222</v>
      </c>
      <c r="B23" s="19" t="n">
        <f aca="false">Inputs!$B$23*1000</f>
        <v>5000</v>
      </c>
    </row>
    <row r="24" customFormat="false" ht="15" hidden="false" customHeight="false" outlineLevel="0" collapsed="false">
      <c r="A24" s="23" t="s">
        <v>223</v>
      </c>
      <c r="B24" s="27" t="n">
        <f aca="false">B23*B5/1000</f>
        <v>150</v>
      </c>
    </row>
    <row r="25" customFormat="false" ht="15" hidden="false" customHeight="false" outlineLevel="0" collapsed="false">
      <c r="A25" s="9" t="s">
        <v>224</v>
      </c>
      <c r="B25" s="26" t="n">
        <f aca="false">CapStructure!C33/1000</f>
        <v>85.9658790925456</v>
      </c>
    </row>
    <row r="26" customFormat="false" ht="15" hidden="false" customHeight="false" outlineLevel="0" collapsed="false">
      <c r="A26" s="9" t="s">
        <v>225</v>
      </c>
      <c r="B26" s="22" t="n">
        <f aca="false">B24/B25</f>
        <v>1.7448783352581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6" min="5" style="0" width="12"/>
    <col collapsed="false" customWidth="true" hidden="false" outlineLevel="0" max="7" min="7" style="0" width="16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1" t="s">
        <v>226</v>
      </c>
    </row>
    <row r="2" customFormat="false" ht="15" hidden="false" customHeight="false" outlineLevel="0" collapsed="false">
      <c r="A2" s="5" t="s">
        <v>227</v>
      </c>
    </row>
    <row r="4" customFormat="false" ht="23.85" hidden="false" customHeight="false" outlineLevel="0" collapsed="false">
      <c r="A4" s="6" t="s">
        <v>228</v>
      </c>
      <c r="B4" s="7" t="s">
        <v>229</v>
      </c>
      <c r="C4" s="7" t="s">
        <v>230</v>
      </c>
      <c r="D4" s="7" t="s">
        <v>231</v>
      </c>
      <c r="E4" s="7" t="s">
        <v>232</v>
      </c>
      <c r="F4" s="7" t="s">
        <v>233</v>
      </c>
      <c r="G4" s="7" t="s">
        <v>234</v>
      </c>
      <c r="H4" s="7" t="s">
        <v>235</v>
      </c>
    </row>
    <row r="5" customFormat="false" ht="15" hidden="false" customHeight="false" outlineLevel="0" collapsed="false">
      <c r="A5" s="9" t="s">
        <v>236</v>
      </c>
      <c r="B5" s="12" t="n">
        <v>100</v>
      </c>
      <c r="C5" s="33" t="n">
        <v>0.02</v>
      </c>
      <c r="D5" s="10" t="n">
        <v>51.45</v>
      </c>
      <c r="E5" s="34" t="s">
        <v>237</v>
      </c>
      <c r="F5" s="9" t="str">
        <f aca="false">IF(D5&lt;Inputs!$B$6,"Yes","No")</f>
        <v>Yes</v>
      </c>
      <c r="G5" s="35" t="n">
        <f aca="false">B5/D5</f>
        <v>1.94363459669582</v>
      </c>
      <c r="H5" s="9" t="str">
        <f aca="false">IF(F5="Yes","Counted as shares","Stays as debt")</f>
        <v>Counted as shares</v>
      </c>
    </row>
    <row r="6" customFormat="false" ht="15" hidden="false" customHeight="false" outlineLevel="0" collapsed="false">
      <c r="A6" s="9" t="s">
        <v>238</v>
      </c>
      <c r="B6" s="12" t="n">
        <v>100</v>
      </c>
      <c r="C6" s="33" t="n">
        <v>0.03</v>
      </c>
      <c r="D6" s="10" t="n">
        <v>51.45</v>
      </c>
      <c r="E6" s="34" t="s">
        <v>239</v>
      </c>
      <c r="F6" s="9" t="str">
        <f aca="false">IF(D6&lt;Inputs!$B$6,"Yes","No")</f>
        <v>Yes</v>
      </c>
      <c r="G6" s="35" t="n">
        <f aca="false">B6/D6</f>
        <v>1.94363459669582</v>
      </c>
      <c r="H6" s="9" t="str">
        <f aca="false">IF(F6="Yes","Counted as shares","Stays as debt")</f>
        <v>Counted as shares</v>
      </c>
    </row>
    <row r="7" customFormat="false" ht="15" hidden="false" customHeight="false" outlineLevel="0" collapsed="false">
      <c r="A7" s="9" t="s">
        <v>240</v>
      </c>
      <c r="B7" s="12" t="n">
        <v>1581.25</v>
      </c>
      <c r="C7" s="33" t="n">
        <v>0.01</v>
      </c>
      <c r="D7" s="10" t="n">
        <v>138.75</v>
      </c>
      <c r="E7" s="34" t="s">
        <v>241</v>
      </c>
      <c r="F7" s="9" t="str">
        <f aca="false">IF(D7&lt;Inputs!$B$6,"Yes","No")</f>
        <v>Yes</v>
      </c>
      <c r="G7" s="35" t="n">
        <f aca="false">B7/D7</f>
        <v>11.3963963963964</v>
      </c>
      <c r="H7" s="9" t="str">
        <f aca="false">IF(F7="Yes","Counted as shares","Stays as debt")</f>
        <v>Counted as shares</v>
      </c>
    </row>
    <row r="8" customFormat="false" ht="15" hidden="false" customHeight="false" outlineLevel="0" collapsed="false">
      <c r="A8" s="9" t="s">
        <v>242</v>
      </c>
      <c r="B8" s="12" t="n">
        <v>1581.25</v>
      </c>
      <c r="C8" s="33" t="n">
        <v>0.0275</v>
      </c>
      <c r="D8" s="10" t="n">
        <v>138.75</v>
      </c>
      <c r="E8" s="34" t="s">
        <v>243</v>
      </c>
      <c r="F8" s="9" t="str">
        <f aca="false">IF(D8&lt;Inputs!$B$6,"Yes","No")</f>
        <v>Yes</v>
      </c>
      <c r="G8" s="35" t="n">
        <f aca="false">B8/D8</f>
        <v>11.3963963963964</v>
      </c>
      <c r="H8" s="9" t="str">
        <f aca="false">IF(F8="Yes","Counted as shares","Stays as debt")</f>
        <v>Counted as shares</v>
      </c>
    </row>
    <row r="9" customFormat="false" ht="15" hidden="false" customHeight="false" outlineLevel="0" collapsed="false">
      <c r="A9" s="9" t="s">
        <v>244</v>
      </c>
      <c r="B9" s="12" t="n">
        <v>2587.5</v>
      </c>
      <c r="C9" s="33" t="n">
        <v>0.0125</v>
      </c>
      <c r="D9" s="10" t="n">
        <v>183.22</v>
      </c>
      <c r="E9" s="34" t="s">
        <v>245</v>
      </c>
      <c r="F9" s="9" t="str">
        <f aca="false">IF(D9&lt;Inputs!$B$6,"Yes","No")</f>
        <v>Yes</v>
      </c>
      <c r="G9" s="35" t="n">
        <f aca="false">B9/D9</f>
        <v>14.1223665538697</v>
      </c>
      <c r="H9" s="9" t="str">
        <f aca="false">IF(F9="Yes","Counted as shares","Stays as debt")</f>
        <v>Counted as shares</v>
      </c>
    </row>
    <row r="10" customFormat="false" ht="15" hidden="false" customHeight="false" outlineLevel="0" collapsed="false">
      <c r="A10" s="9" t="s">
        <v>246</v>
      </c>
      <c r="B10" s="12" t="n">
        <v>1750</v>
      </c>
      <c r="C10" s="33" t="n">
        <v>0.02625</v>
      </c>
      <c r="D10" s="10" t="n">
        <v>180.31</v>
      </c>
      <c r="E10" s="34" t="s">
        <v>247</v>
      </c>
      <c r="F10" s="9" t="str">
        <f aca="false">IF(D10&lt;Inputs!$B$6,"Yes","No")</f>
        <v>Yes</v>
      </c>
      <c r="G10" s="35" t="n">
        <f aca="false">B10/D10</f>
        <v>9.70550718207531</v>
      </c>
      <c r="H10" s="9" t="str">
        <f aca="false">IF(F10="Yes","Counted as shares","Stays as debt")</f>
        <v>Counted as shares</v>
      </c>
    </row>
    <row r="11" customFormat="false" ht="15" hidden="false" customHeight="false" outlineLevel="0" collapsed="false">
      <c r="A11" s="9" t="s">
        <v>248</v>
      </c>
      <c r="B11" s="12" t="n">
        <v>3450</v>
      </c>
      <c r="C11" s="33" t="n">
        <v>0.005</v>
      </c>
      <c r="D11" s="10" t="n">
        <v>313.46</v>
      </c>
      <c r="E11" s="34" t="s">
        <v>249</v>
      </c>
      <c r="F11" s="9" t="str">
        <f aca="false">IF(D11&lt;Inputs!$B$6,"Yes","No")</f>
        <v>No</v>
      </c>
      <c r="G11" s="35" t="n">
        <f aca="false">B11/D11</f>
        <v>11.0061889874306</v>
      </c>
      <c r="H11" s="9" t="str">
        <f aca="false">IF(F11="Yes","Counted as shares","Stays as debt")</f>
        <v>Stays as debt</v>
      </c>
    </row>
    <row r="12" customFormat="false" ht="15" hidden="false" customHeight="false" outlineLevel="0" collapsed="false">
      <c r="A12" s="9" t="s">
        <v>250</v>
      </c>
      <c r="B12" s="12" t="n">
        <v>2300</v>
      </c>
      <c r="C12" s="33" t="n">
        <v>0.045</v>
      </c>
      <c r="D12" s="10" t="n">
        <v>324.65</v>
      </c>
      <c r="E12" s="34" t="s">
        <v>251</v>
      </c>
      <c r="F12" s="9" t="str">
        <f aca="false">IF(D12&lt;Inputs!$B$6,"Yes","No")</f>
        <v>No</v>
      </c>
      <c r="G12" s="35" t="n">
        <f aca="false">B12/D12</f>
        <v>7.08455259510242</v>
      </c>
      <c r="H12" s="9" t="str">
        <f aca="false">IF(F12="Yes","Counted as shares","Stays as debt")</f>
        <v>Stays as debt</v>
      </c>
    </row>
    <row r="13" customFormat="false" ht="15" hidden="false" customHeight="false" outlineLevel="0" collapsed="false">
      <c r="A13" s="36" t="s">
        <v>252</v>
      </c>
      <c r="B13" s="37" t="n">
        <f aca="false">SUM(B5:B12)</f>
        <v>13450</v>
      </c>
      <c r="C13" s="36"/>
      <c r="D13" s="36"/>
      <c r="E13" s="36"/>
      <c r="F13" s="36"/>
      <c r="G13" s="38" t="n">
        <f aca="false">SUMIF(F5:F12,"Yes",G5:G12)</f>
        <v>50.5079357221294</v>
      </c>
      <c r="H13" s="36" t="s">
        <v>253</v>
      </c>
    </row>
    <row r="16" customFormat="false" ht="15" hidden="false" customHeight="false" outlineLevel="0" collapsed="false">
      <c r="A16" s="6" t="s">
        <v>254</v>
      </c>
      <c r="B16" s="7"/>
      <c r="C16" s="7" t="s">
        <v>255</v>
      </c>
      <c r="D16" s="7"/>
      <c r="E16" s="7"/>
      <c r="F16" s="7"/>
      <c r="G16" s="7"/>
      <c r="H16" s="7" t="s">
        <v>175</v>
      </c>
    </row>
    <row r="17" customFormat="false" ht="15" hidden="false" customHeight="false" outlineLevel="0" collapsed="false">
      <c r="A17" s="9" t="s">
        <v>99</v>
      </c>
      <c r="C17" s="26" t="n">
        <f aca="false">Inputs!$B$31</f>
        <v>238.400165</v>
      </c>
      <c r="H17" s="9"/>
    </row>
    <row r="18" customFormat="false" ht="15" hidden="false" customHeight="false" outlineLevel="0" collapsed="false">
      <c r="A18" s="9" t="s">
        <v>102</v>
      </c>
      <c r="C18" s="26" t="n">
        <f aca="false">Inputs!$B$32</f>
        <v>33.455053</v>
      </c>
      <c r="H18" s="9"/>
    </row>
    <row r="19" customFormat="false" ht="15" hidden="false" customHeight="false" outlineLevel="0" collapsed="false">
      <c r="A19" s="9" t="s">
        <v>256</v>
      </c>
      <c r="C19" s="26" t="n">
        <f aca="false">C17+C18</f>
        <v>271.855218</v>
      </c>
      <c r="H19" s="9" t="s">
        <v>257</v>
      </c>
    </row>
    <row r="20" customFormat="false" ht="15" hidden="false" customHeight="false" outlineLevel="0" collapsed="false">
      <c r="A20" s="9" t="s">
        <v>104</v>
      </c>
      <c r="C20" s="26" t="n">
        <f aca="false">Inputs!$B$33</f>
        <v>21.065936</v>
      </c>
      <c r="H20" s="9" t="s">
        <v>258</v>
      </c>
    </row>
    <row r="21" customFormat="false" ht="15" hidden="false" customHeight="false" outlineLevel="0" collapsed="false">
      <c r="A21" s="9" t="s">
        <v>259</v>
      </c>
      <c r="C21" s="26" t="n">
        <f aca="false">Inputs!$B$34</f>
        <v>15.8</v>
      </c>
      <c r="H21" s="9" t="s">
        <v>260</v>
      </c>
    </row>
    <row r="22" customFormat="false" ht="15" hidden="false" customHeight="false" outlineLevel="0" collapsed="false">
      <c r="A22" s="9" t="s">
        <v>261</v>
      </c>
      <c r="C22" s="26" t="n">
        <f aca="false">Inputs!$B$35*MAX(0,1-Inputs!$B$36/Inputs!$B$6)</f>
        <v>4.17124801995098</v>
      </c>
      <c r="H22" s="9" t="s">
        <v>262</v>
      </c>
    </row>
    <row r="23" customFormat="false" ht="15" hidden="false" customHeight="false" outlineLevel="0" collapsed="false">
      <c r="A23" s="9" t="s">
        <v>112</v>
      </c>
      <c r="C23" s="26" t="n">
        <f aca="false">Inputs!$B$37</f>
        <v>6.234091</v>
      </c>
      <c r="H23" s="9" t="s">
        <v>263</v>
      </c>
    </row>
    <row r="24" customFormat="false" ht="15" hidden="false" customHeight="false" outlineLevel="0" collapsed="false">
      <c r="A24" s="9" t="s">
        <v>264</v>
      </c>
      <c r="C24" s="26" t="n">
        <f aca="false">G13</f>
        <v>50.5079357221294</v>
      </c>
      <c r="H24" s="9" t="s">
        <v>265</v>
      </c>
    </row>
    <row r="25" customFormat="false" ht="15" hidden="false" customHeight="false" outlineLevel="0" collapsed="false">
      <c r="A25" s="36" t="s">
        <v>266</v>
      </c>
      <c r="B25" s="36"/>
      <c r="C25" s="39" t="n">
        <f aca="false">SUM(C19:C24)</f>
        <v>369.63442874208</v>
      </c>
      <c r="D25" s="36"/>
      <c r="E25" s="36"/>
      <c r="F25" s="36"/>
      <c r="G25" s="36"/>
      <c r="H25" s="36" t="s">
        <v>267</v>
      </c>
    </row>
    <row r="27" customFormat="false" ht="15" hidden="false" customHeight="false" outlineLevel="0" collapsed="false">
      <c r="A27" s="6" t="s">
        <v>268</v>
      </c>
      <c r="B27" s="7"/>
      <c r="C27" s="7" t="s">
        <v>87</v>
      </c>
      <c r="D27" s="7"/>
      <c r="E27" s="7"/>
      <c r="F27" s="7"/>
      <c r="G27" s="7"/>
      <c r="H27" s="7" t="s">
        <v>175</v>
      </c>
    </row>
    <row r="28" customFormat="false" ht="15" hidden="false" customHeight="false" outlineLevel="0" collapsed="false">
      <c r="A28" s="9" t="s">
        <v>269</v>
      </c>
      <c r="C28" s="40" t="n">
        <f aca="false">Inputs!$B$6</f>
        <v>232.57</v>
      </c>
    </row>
    <row r="29" customFormat="false" ht="15" hidden="false" customHeight="false" outlineLevel="0" collapsed="false">
      <c r="A29" s="9" t="s">
        <v>270</v>
      </c>
      <c r="C29" s="26" t="n">
        <f aca="false">C25</f>
        <v>369.63442874208</v>
      </c>
    </row>
    <row r="30" customFormat="false" ht="15" hidden="false" customHeight="false" outlineLevel="0" collapsed="false">
      <c r="A30" s="9" t="s">
        <v>271</v>
      </c>
      <c r="C30" s="19" t="n">
        <f aca="false">SUMIF(F5:F12,"No",B5:B12)</f>
        <v>5750</v>
      </c>
      <c r="H30" s="9" t="s">
        <v>272</v>
      </c>
    </row>
    <row r="31" customFormat="false" ht="15" hidden="false" customHeight="false" outlineLevel="0" collapsed="false">
      <c r="A31" s="9" t="s">
        <v>273</v>
      </c>
      <c r="C31" s="19" t="n">
        <f aca="false">Inputs!$B$40</f>
        <v>775</v>
      </c>
    </row>
    <row r="32" customFormat="false" ht="15" hidden="false" customHeight="false" outlineLevel="0" collapsed="false">
      <c r="A32" s="9" t="s">
        <v>274</v>
      </c>
      <c r="C32" s="19" t="n">
        <f aca="false">C30+C31</f>
        <v>6525</v>
      </c>
      <c r="H32" s="9" t="s">
        <v>275</v>
      </c>
    </row>
    <row r="33" customFormat="false" ht="15" hidden="false" customHeight="false" outlineLevel="0" collapsed="false">
      <c r="A33" s="23" t="s">
        <v>276</v>
      </c>
      <c r="C33" s="28" t="n">
        <f aca="false">C28*C29</f>
        <v>85965.8790925456</v>
      </c>
      <c r="H33" s="9" t="s">
        <v>277</v>
      </c>
    </row>
    <row r="34" customFormat="false" ht="15" hidden="false" customHeight="false" outlineLevel="0" collapsed="false">
      <c r="A34" s="9" t="s">
        <v>278</v>
      </c>
      <c r="C34" s="19" t="n">
        <f aca="false">-Inputs!$B$41</f>
        <v>-14500</v>
      </c>
      <c r="H34" s="9" t="s">
        <v>279</v>
      </c>
    </row>
    <row r="35" customFormat="false" ht="15" hidden="false" customHeight="false" outlineLevel="0" collapsed="false">
      <c r="A35" s="9" t="s">
        <v>280</v>
      </c>
      <c r="C35" s="19" t="n">
        <f aca="false">C32</f>
        <v>6525</v>
      </c>
    </row>
    <row r="36" customFormat="false" ht="15" hidden="false" customHeight="false" outlineLevel="0" collapsed="false">
      <c r="A36" s="36" t="s">
        <v>268</v>
      </c>
      <c r="B36" s="36"/>
      <c r="C36" s="41" t="n">
        <f aca="false">C33+C34+C35</f>
        <v>77990.8790925456</v>
      </c>
      <c r="D36" s="36"/>
      <c r="E36" s="36"/>
      <c r="F36" s="36"/>
      <c r="G36" s="36"/>
      <c r="H36" s="36" t="s">
        <v>281</v>
      </c>
    </row>
    <row r="38" customFormat="false" ht="15" hidden="false" customHeight="false" outlineLevel="0" collapsed="false">
      <c r="A38" s="6" t="s">
        <v>282</v>
      </c>
      <c r="B38" s="7"/>
      <c r="C38" s="7" t="s">
        <v>87</v>
      </c>
      <c r="D38" s="7"/>
      <c r="E38" s="7"/>
      <c r="F38" s="7"/>
      <c r="G38" s="7"/>
      <c r="H38" s="7" t="s">
        <v>175</v>
      </c>
    </row>
    <row r="39" customFormat="false" ht="15" hidden="false" customHeight="false" outlineLevel="0" collapsed="false">
      <c r="A39" s="9" t="s">
        <v>114</v>
      </c>
      <c r="C39" s="19" t="n">
        <f aca="false">Inputs!$B$38</f>
        <v>8042.1</v>
      </c>
    </row>
    <row r="40" customFormat="false" ht="15" hidden="false" customHeight="false" outlineLevel="0" collapsed="false">
      <c r="A40" s="9" t="s">
        <v>283</v>
      </c>
      <c r="C40" s="19" t="n">
        <f aca="false">C30</f>
        <v>5750</v>
      </c>
    </row>
    <row r="41" customFormat="false" ht="15" hidden="false" customHeight="false" outlineLevel="0" collapsed="false">
      <c r="A41" s="9" t="s">
        <v>273</v>
      </c>
      <c r="C41" s="19" t="n">
        <f aca="false">Inputs!$B$40</f>
        <v>775</v>
      </c>
    </row>
    <row r="42" customFormat="false" ht="15" hidden="false" customHeight="false" outlineLevel="0" collapsed="false">
      <c r="A42" s="9" t="s">
        <v>284</v>
      </c>
      <c r="C42" s="19" t="n">
        <f aca="false">SUM(C39:C41)</f>
        <v>14567.1</v>
      </c>
      <c r="H42" s="9" t="s">
        <v>285</v>
      </c>
    </row>
    <row r="43" customFormat="false" ht="15" hidden="false" customHeight="false" outlineLevel="0" collapsed="false">
      <c r="A43" s="9" t="s">
        <v>286</v>
      </c>
      <c r="C43" s="19" t="n">
        <f aca="false">Inputs!$B$39</f>
        <v>1056</v>
      </c>
    </row>
    <row r="45" customFormat="false" ht="15" hidden="false" customHeight="false" outlineLevel="0" collapsed="false">
      <c r="A45" s="6" t="s">
        <v>287</v>
      </c>
      <c r="B45" s="7"/>
      <c r="C45" s="7" t="s">
        <v>47</v>
      </c>
      <c r="D45" s="7"/>
      <c r="E45" s="7"/>
      <c r="F45" s="7"/>
      <c r="G45" s="7"/>
      <c r="H45" s="7" t="s">
        <v>175</v>
      </c>
    </row>
    <row r="46" customFormat="false" ht="15" hidden="false" customHeight="false" outlineLevel="0" collapsed="false">
      <c r="A46" s="9" t="s">
        <v>288</v>
      </c>
      <c r="C46" s="19" t="n">
        <f aca="false">Inputs!$B$42+Inputs!$B$43</f>
        <v>5975.2</v>
      </c>
      <c r="H46" s="9" t="s">
        <v>289</v>
      </c>
    </row>
    <row r="47" customFormat="false" ht="15" hidden="false" customHeight="false" outlineLevel="0" collapsed="false">
      <c r="A47" s="9" t="s">
        <v>290</v>
      </c>
      <c r="C47" s="29" t="n">
        <f aca="false">Inputs!$B$44</f>
        <v>37.49</v>
      </c>
    </row>
    <row r="48" customFormat="false" ht="15" hidden="false" customHeight="false" outlineLevel="0" collapsed="false">
      <c r="A48" s="9" t="s">
        <v>291</v>
      </c>
      <c r="C48" s="29" t="n">
        <f aca="false">Inputs!$B$45*Inputs!$B$46/1000</f>
        <v>2.8463146348</v>
      </c>
      <c r="H48" s="9" t="s">
        <v>292</v>
      </c>
    </row>
    <row r="49" customFormat="false" ht="15" hidden="false" customHeight="false" outlineLevel="0" collapsed="false">
      <c r="A49" s="9" t="s">
        <v>293</v>
      </c>
      <c r="C49" s="32" t="n">
        <f aca="false">Inputs!$B$49/C25</f>
        <v>0.12655747506854</v>
      </c>
      <c r="H49" s="9" t="s">
        <v>294</v>
      </c>
    </row>
    <row r="51" customFormat="false" ht="15" hidden="false" customHeight="false" outlineLevel="0" collapsed="false">
      <c r="A51" s="31" t="s">
        <v>295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16"/>
    <col collapsed="false" customWidth="true" hidden="false" outlineLevel="0" max="4" min="4" style="0" width="48"/>
  </cols>
  <sheetData>
    <row r="1" customFormat="false" ht="15" hidden="false" customHeight="false" outlineLevel="0" collapsed="false">
      <c r="A1" s="1" t="s">
        <v>296</v>
      </c>
    </row>
    <row r="4" customFormat="false" ht="15" hidden="false" customHeight="false" outlineLevel="0" collapsed="false">
      <c r="A4" s="6" t="s">
        <v>297</v>
      </c>
      <c r="B4" s="7" t="s">
        <v>47</v>
      </c>
      <c r="C4" s="7"/>
      <c r="D4" s="7" t="s">
        <v>175</v>
      </c>
    </row>
    <row r="5" customFormat="false" ht="15" hidden="false" customHeight="false" outlineLevel="0" collapsed="false">
      <c r="A5" s="9" t="s">
        <v>298</v>
      </c>
      <c r="B5" s="26" t="n">
        <f aca="false">CapStructure!C36/1000</f>
        <v>77.9908790925456</v>
      </c>
    </row>
    <row r="6" customFormat="false" ht="15" hidden="false" customHeight="false" outlineLevel="0" collapsed="false">
      <c r="A6" s="9" t="s">
        <v>299</v>
      </c>
      <c r="B6" s="29" t="n">
        <f aca="false">Inputs!$B$16</f>
        <v>12.3</v>
      </c>
    </row>
    <row r="7" customFormat="false" ht="15" hidden="false" customHeight="false" outlineLevel="0" collapsed="false">
      <c r="A7" s="9" t="s">
        <v>300</v>
      </c>
      <c r="B7" s="20" t="n">
        <f aca="false">Inputs!$B$29</f>
        <v>0.5</v>
      </c>
    </row>
    <row r="8" customFormat="false" ht="15" hidden="false" customHeight="false" outlineLevel="0" collapsed="false">
      <c r="A8" s="9" t="s">
        <v>301</v>
      </c>
      <c r="B8" s="29" t="n">
        <f aca="false">B6*B7</f>
        <v>6.15</v>
      </c>
    </row>
    <row r="9" customFormat="false" ht="15" hidden="false" customHeight="false" outlineLevel="0" collapsed="false">
      <c r="A9" s="9" t="s">
        <v>302</v>
      </c>
      <c r="B9" s="26" t="n">
        <f aca="false">ROUND(B8,1)</f>
        <v>6.2</v>
      </c>
    </row>
    <row r="10" customFormat="false" ht="15" hidden="false" customHeight="false" outlineLevel="0" collapsed="false">
      <c r="A10" s="23" t="s">
        <v>303</v>
      </c>
      <c r="B10" s="42" t="n">
        <f aca="false">B5/B8</f>
        <v>12.6814437548855</v>
      </c>
      <c r="D10" s="9" t="s">
        <v>304</v>
      </c>
    </row>
    <row r="11" customFormat="false" ht="15" hidden="false" customHeight="false" outlineLevel="0" collapsed="false">
      <c r="A11" s="9" t="s">
        <v>305</v>
      </c>
      <c r="B11" s="22" t="n">
        <f aca="false">B5/B9</f>
        <v>12.5791740471848</v>
      </c>
      <c r="D11" s="9" t="s">
        <v>306</v>
      </c>
    </row>
    <row r="12" customFormat="false" ht="15" hidden="false" customHeight="false" outlineLevel="0" collapsed="false">
      <c r="A12" s="23" t="s">
        <v>307</v>
      </c>
      <c r="B12" s="42" t="n">
        <f aca="false">B5/B6</f>
        <v>6.34072187744273</v>
      </c>
      <c r="D12" s="9" t="s">
        <v>308</v>
      </c>
    </row>
    <row r="13" customFormat="false" ht="15" hidden="false" customHeight="false" outlineLevel="0" collapsed="false">
      <c r="A13" s="9" t="s">
        <v>309</v>
      </c>
      <c r="B13" s="22" t="n">
        <f aca="false">B5/Inputs!$B$15</f>
        <v>23.3505626025586</v>
      </c>
    </row>
    <row r="14" customFormat="false" ht="15" hidden="false" customHeight="false" outlineLevel="0" collapsed="false">
      <c r="A14" s="9" t="s">
        <v>310</v>
      </c>
      <c r="B14" s="25" t="n">
        <f aca="false">Inputs!$B$16/Inputs!$B$9</f>
        <v>1.75714285714286</v>
      </c>
      <c r="C14" s="25" t="n">
        <f aca="false">Inputs!$B$16/Inputs!$B$10</f>
        <v>1.36666666666667</v>
      </c>
      <c r="D14" s="9" t="s">
        <v>311</v>
      </c>
    </row>
    <row r="16" customFormat="false" ht="15" hidden="false" customHeight="false" outlineLevel="0" collapsed="false">
      <c r="A16" s="6" t="s">
        <v>312</v>
      </c>
      <c r="B16" s="7" t="s">
        <v>313</v>
      </c>
      <c r="C16" s="7" t="s">
        <v>314</v>
      </c>
      <c r="D16" s="7" t="s">
        <v>315</v>
      </c>
    </row>
    <row r="17" customFormat="false" ht="15" hidden="false" customHeight="false" outlineLevel="0" collapsed="false">
      <c r="A17" s="9" t="s">
        <v>316</v>
      </c>
      <c r="B17" s="22" t="n">
        <f aca="false">B12</f>
        <v>6.34072187744273</v>
      </c>
      <c r="C17" s="20"/>
      <c r="D17" s="9" t="s">
        <v>307</v>
      </c>
    </row>
    <row r="18" customFormat="false" ht="15" hidden="false" customHeight="false" outlineLevel="0" collapsed="false">
      <c r="A18" s="9" t="s">
        <v>317</v>
      </c>
      <c r="B18" s="43" t="n">
        <v>3.6</v>
      </c>
      <c r="C18" s="20" t="n">
        <f aca="false">$B$17/B18-1</f>
        <v>0.761311632622982</v>
      </c>
      <c r="D18" s="9" t="s">
        <v>307</v>
      </c>
    </row>
    <row r="19" customFormat="false" ht="15" hidden="false" customHeight="false" outlineLevel="0" collapsed="false">
      <c r="A19" s="9" t="s">
        <v>318</v>
      </c>
      <c r="B19" s="43" t="n">
        <v>4.3</v>
      </c>
      <c r="C19" s="20" t="n">
        <f aca="false">$B$17/B19-1</f>
        <v>0.474586483126217</v>
      </c>
      <c r="D19" s="9" t="s">
        <v>319</v>
      </c>
    </row>
    <row r="20" customFormat="false" ht="15" hidden="false" customHeight="false" outlineLevel="0" collapsed="false">
      <c r="A20" s="9" t="s">
        <v>320</v>
      </c>
      <c r="B20" s="43" t="n">
        <v>2.4</v>
      </c>
      <c r="C20" s="20" t="n">
        <f aca="false">$B$17/B20-1</f>
        <v>1.64196744893447</v>
      </c>
      <c r="D20" s="9" t="s">
        <v>319</v>
      </c>
    </row>
    <row r="22" customFormat="false" ht="15" hidden="false" customHeight="false" outlineLevel="0" collapsed="false">
      <c r="A22" s="31" t="s">
        <v>321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5" min="4" style="0" width="10"/>
    <col collapsed="false" customWidth="true" hidden="false" outlineLevel="0" max="6" min="6" style="0" width="12"/>
    <col collapsed="false" customWidth="true" hidden="false" outlineLevel="0" max="8" min="7" style="0" width="10"/>
    <col collapsed="false" customWidth="true" hidden="false" outlineLevel="0" max="11" min="9" style="0" width="12"/>
  </cols>
  <sheetData>
    <row r="1" customFormat="false" ht="15" hidden="false" customHeight="false" outlineLevel="0" collapsed="false">
      <c r="A1" s="1" t="s">
        <v>322</v>
      </c>
    </row>
    <row r="2" customFormat="false" ht="15" hidden="false" customHeight="false" outlineLevel="0" collapsed="false">
      <c r="A2" s="5" t="s">
        <v>323</v>
      </c>
    </row>
    <row r="4" customFormat="false" ht="35.05" hidden="false" customHeight="false" outlineLevel="0" collapsed="false">
      <c r="A4" s="6" t="s">
        <v>324</v>
      </c>
      <c r="B4" s="7" t="s">
        <v>325</v>
      </c>
      <c r="C4" s="7" t="s">
        <v>326</v>
      </c>
      <c r="D4" s="7" t="s">
        <v>327</v>
      </c>
      <c r="E4" s="7" t="s">
        <v>313</v>
      </c>
      <c r="F4" s="7" t="s">
        <v>328</v>
      </c>
      <c r="G4" s="7" t="s">
        <v>255</v>
      </c>
      <c r="H4" s="7" t="s">
        <v>329</v>
      </c>
      <c r="I4" s="7" t="s">
        <v>330</v>
      </c>
      <c r="J4" s="7" t="s">
        <v>331</v>
      </c>
      <c r="K4" s="7" t="s">
        <v>332</v>
      </c>
    </row>
    <row r="5" customFormat="false" ht="15" hidden="false" customHeight="false" outlineLevel="0" collapsed="false">
      <c r="A5" s="23" t="s">
        <v>333</v>
      </c>
      <c r="B5" s="9" t="s">
        <v>334</v>
      </c>
      <c r="C5" s="14" t="n">
        <v>16</v>
      </c>
      <c r="D5" s="15" t="n">
        <v>0.4</v>
      </c>
      <c r="E5" s="43" t="n">
        <v>8</v>
      </c>
      <c r="F5" s="14" t="n">
        <v>20</v>
      </c>
      <c r="G5" s="13" t="n">
        <v>400</v>
      </c>
      <c r="H5" s="15" t="n">
        <v>0.25</v>
      </c>
      <c r="I5" s="29" t="n">
        <f aca="false">C5*D5</f>
        <v>6.4</v>
      </c>
      <c r="J5" s="44" t="n">
        <f aca="false">(I5*E5-F5)/G5*1000</f>
        <v>78</v>
      </c>
      <c r="K5" s="18" t="n">
        <f aca="false">J5/Inputs!$B$6-1</f>
        <v>-0.664617104527669</v>
      </c>
    </row>
    <row r="6" customFormat="false" ht="15" hidden="false" customHeight="false" outlineLevel="0" collapsed="false">
      <c r="A6" s="23" t="s">
        <v>335</v>
      </c>
      <c r="B6" s="9" t="s">
        <v>336</v>
      </c>
      <c r="C6" s="14" t="n">
        <v>21</v>
      </c>
      <c r="D6" s="15" t="n">
        <v>0.45</v>
      </c>
      <c r="E6" s="43" t="n">
        <v>11</v>
      </c>
      <c r="F6" s="14" t="n">
        <v>15</v>
      </c>
      <c r="G6" s="13" t="n">
        <v>388</v>
      </c>
      <c r="H6" s="15" t="n">
        <v>0.5</v>
      </c>
      <c r="I6" s="29" t="n">
        <f aca="false">C6*D6</f>
        <v>9.45</v>
      </c>
      <c r="J6" s="44" t="n">
        <f aca="false">(I6*E6-F6)/G6*1000</f>
        <v>229.252577319588</v>
      </c>
      <c r="K6" s="18" t="n">
        <f aca="false">J6/Inputs!$B$6-1</f>
        <v>-0.0142641900520802</v>
      </c>
    </row>
    <row r="7" customFormat="false" ht="15" hidden="false" customHeight="false" outlineLevel="0" collapsed="false">
      <c r="A7" s="23" t="s">
        <v>337</v>
      </c>
      <c r="B7" s="9" t="s">
        <v>338</v>
      </c>
      <c r="C7" s="14" t="n">
        <v>27</v>
      </c>
      <c r="D7" s="15" t="n">
        <v>0.5</v>
      </c>
      <c r="E7" s="43" t="n">
        <v>13</v>
      </c>
      <c r="F7" s="14" t="n">
        <v>10</v>
      </c>
      <c r="G7" s="13" t="n">
        <v>385</v>
      </c>
      <c r="H7" s="15" t="n">
        <v>0.25</v>
      </c>
      <c r="I7" s="29" t="n">
        <f aca="false">C7*D7</f>
        <v>13.5</v>
      </c>
      <c r="J7" s="44" t="n">
        <f aca="false">(I7*E7-F7)/G7*1000</f>
        <v>429.87012987013</v>
      </c>
      <c r="K7" s="18" t="n">
        <f aca="false">J7/Inputs!$B$6-1</f>
        <v>0.848347292729629</v>
      </c>
    </row>
    <row r="8" customFormat="false" ht="15" hidden="false" customHeight="false" outlineLevel="0" collapsed="false">
      <c r="A8" s="36" t="s">
        <v>339</v>
      </c>
      <c r="B8" s="36" t="s">
        <v>340</v>
      </c>
      <c r="C8" s="36"/>
      <c r="D8" s="36"/>
      <c r="E8" s="36"/>
      <c r="F8" s="36"/>
      <c r="G8" s="36"/>
      <c r="H8" s="45" t="n">
        <f aca="false">SUM(H5:H7)</f>
        <v>1</v>
      </c>
      <c r="I8" s="36"/>
      <c r="J8" s="46" t="n">
        <f aca="false">SUMPRODUCT(H5:H7,J5:J7)</f>
        <v>241.593821127326</v>
      </c>
      <c r="K8" s="47" t="n">
        <f aca="false">J8/Inputs!$B$6-1</f>
        <v>0.03880045202445</v>
      </c>
    </row>
    <row r="10" customFormat="false" ht="15" hidden="false" customHeight="false" outlineLevel="0" collapsed="false">
      <c r="A10" s="23" t="s">
        <v>341</v>
      </c>
      <c r="B10" s="9" t="s">
        <v>342</v>
      </c>
      <c r="C10" s="9" t="str">
        <f aca="false">IF(ABS(H8-1)&lt;0.0001,"OK","CHECK")</f>
        <v>OK</v>
      </c>
    </row>
    <row r="12" customFormat="false" ht="15" hidden="false" customHeight="false" outlineLevel="0" collapsed="false">
      <c r="A12" s="23" t="s">
        <v>343</v>
      </c>
    </row>
    <row r="13" customFormat="false" ht="15" hidden="false" customHeight="false" outlineLevel="0" collapsed="false">
      <c r="B13" s="9" t="s">
        <v>344</v>
      </c>
      <c r="C13" s="40" t="n">
        <f aca="false">Inputs!$B$7</f>
        <v>185</v>
      </c>
    </row>
    <row r="14" customFormat="false" ht="15" hidden="false" customHeight="false" outlineLevel="0" collapsed="false">
      <c r="B14" s="9" t="s">
        <v>345</v>
      </c>
      <c r="C14" s="20" t="n">
        <f aca="false">J6/C13-1</f>
        <v>0.23920312064642</v>
      </c>
    </row>
    <row r="15" customFormat="false" ht="15" hidden="false" customHeight="false" outlineLevel="0" collapsed="false">
      <c r="B15" s="9" t="s">
        <v>346</v>
      </c>
      <c r="C15" s="20" t="n">
        <f aca="false">J5/C13-1</f>
        <v>-0.578378378378378</v>
      </c>
    </row>
    <row r="16" customFormat="false" ht="15" hidden="false" customHeight="false" outlineLevel="0" collapsed="false">
      <c r="B16" s="9" t="s">
        <v>347</v>
      </c>
      <c r="C16" s="40" t="n">
        <f aca="false">J6/1.25</f>
        <v>183.40206185567</v>
      </c>
    </row>
    <row r="18" customFormat="false" ht="15" hidden="false" customHeight="false" outlineLevel="0" collapsed="false">
      <c r="A18" s="31" t="s">
        <v>348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" t="s">
        <v>349</v>
      </c>
    </row>
    <row r="3" customFormat="false" ht="15" hidden="false" customHeight="false" outlineLevel="0" collapsed="false">
      <c r="A3" s="9" t="s">
        <v>328</v>
      </c>
      <c r="B3" s="14" t="n">
        <v>15</v>
      </c>
    </row>
    <row r="4" customFormat="false" ht="15" hidden="false" customHeight="false" outlineLevel="0" collapsed="false">
      <c r="A4" s="9" t="s">
        <v>255</v>
      </c>
      <c r="B4" s="13" t="n">
        <v>388</v>
      </c>
    </row>
    <row r="6" customFormat="false" ht="15" hidden="false" customHeight="false" outlineLevel="0" collapsed="false">
      <c r="A6" s="6" t="s">
        <v>350</v>
      </c>
      <c r="B6" s="48" t="n">
        <v>9</v>
      </c>
      <c r="C6" s="48" t="n">
        <v>11</v>
      </c>
      <c r="D6" s="48" t="n">
        <v>13</v>
      </c>
    </row>
    <row r="7" customFormat="false" ht="15" hidden="false" customHeight="false" outlineLevel="0" collapsed="false">
      <c r="A7" s="49" t="n">
        <v>7.5</v>
      </c>
      <c r="B7" s="50" t="n">
        <f aca="false">($A7*B$6-$B$3)/$B$4*1000</f>
        <v>135.309278350515</v>
      </c>
      <c r="C7" s="50" t="n">
        <f aca="false">($A7*C$6-$B$3)/$B$4*1000</f>
        <v>173.969072164948</v>
      </c>
      <c r="D7" s="50" t="n">
        <f aca="false">($A7*D$6-$B$3)/$B$4*1000</f>
        <v>212.628865979381</v>
      </c>
    </row>
    <row r="8" customFormat="false" ht="15" hidden="false" customHeight="false" outlineLevel="0" collapsed="false">
      <c r="A8" s="49" t="n">
        <v>9.5</v>
      </c>
      <c r="B8" s="50" t="n">
        <f aca="false">($A8*B$6-$B$3)/$B$4*1000</f>
        <v>181.701030927835</v>
      </c>
      <c r="C8" s="50" t="n">
        <f aca="false">($A8*C$6-$B$3)/$B$4*1000</f>
        <v>230.670103092784</v>
      </c>
      <c r="D8" s="50" t="n">
        <f aca="false">($A8*D$6-$B$3)/$B$4*1000</f>
        <v>279.639175257732</v>
      </c>
    </row>
    <row r="9" customFormat="false" ht="15" hidden="false" customHeight="false" outlineLevel="0" collapsed="false">
      <c r="A9" s="49" t="n">
        <v>11.5</v>
      </c>
      <c r="B9" s="50" t="n">
        <f aca="false">($A9*B$6-$B$3)/$B$4*1000</f>
        <v>228.092783505155</v>
      </c>
      <c r="C9" s="50" t="n">
        <f aca="false">($A9*C$6-$B$3)/$B$4*1000</f>
        <v>287.371134020619</v>
      </c>
      <c r="D9" s="50" t="n">
        <f aca="false">($A9*D$6-$B$3)/$B$4*1000</f>
        <v>346.649484536082</v>
      </c>
    </row>
    <row r="11" customFormat="false" ht="15" hidden="false" customHeight="false" outlineLevel="0" collapsed="false">
      <c r="A11" s="31" t="s">
        <v>351</v>
      </c>
    </row>
    <row r="12" customFormat="false" ht="15" hidden="false" customHeight="false" outlineLevel="0" collapsed="false">
      <c r="A12" s="9" t="s">
        <v>269</v>
      </c>
      <c r="B12" s="40" t="n">
        <f aca="false">Inputs!$B$6</f>
        <v>232.57</v>
      </c>
    </row>
    <row r="13" customFormat="false" ht="15" hidden="false" customHeight="false" outlineLevel="0" collapsed="false">
      <c r="A13" s="9" t="s">
        <v>352</v>
      </c>
      <c r="B13" s="29" t="n">
        <f aca="false">(Inputs!$B$6*B4/1000+B3)/11</f>
        <v>9.56701454545455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1" t="s">
        <v>353</v>
      </c>
    </row>
    <row r="3" customFormat="false" ht="23.85" hidden="false" customHeight="false" outlineLevel="0" collapsed="false">
      <c r="A3" s="3" t="s">
        <v>354</v>
      </c>
    </row>
    <row r="4" customFormat="false" ht="23.85" hidden="false" customHeight="false" outlineLevel="0" collapsed="false">
      <c r="A4" s="3" t="s">
        <v>355</v>
      </c>
    </row>
    <row r="5" customFormat="false" ht="15" hidden="false" customHeight="false" outlineLevel="0" collapsed="false">
      <c r="A5" s="3" t="s">
        <v>356</v>
      </c>
    </row>
    <row r="6" customFormat="false" ht="23.85" hidden="false" customHeight="false" outlineLevel="0" collapsed="false">
      <c r="A6" s="3" t="s">
        <v>357</v>
      </c>
    </row>
    <row r="7" customFormat="false" ht="23.85" hidden="false" customHeight="false" outlineLevel="0" collapsed="false">
      <c r="A7" s="3" t="s">
        <v>358</v>
      </c>
    </row>
    <row r="8" customFormat="false" ht="15" hidden="false" customHeight="false" outlineLevel="0" collapsed="false">
      <c r="A8" s="3" t="s">
        <v>359</v>
      </c>
    </row>
    <row r="9" customFormat="false" ht="15" hidden="false" customHeight="false" outlineLevel="0" collapsed="false">
      <c r="A9" s="3" t="s">
        <v>360</v>
      </c>
    </row>
    <row r="10" customFormat="false" ht="15" hidden="false" customHeight="false" outlineLevel="0" collapsed="false">
      <c r="A10" s="3" t="s">
        <v>361</v>
      </c>
    </row>
    <row r="11" customFormat="false" ht="15" hidden="false" customHeight="false" outlineLevel="0" collapsed="false">
      <c r="A11" s="3" t="s">
        <v>362</v>
      </c>
    </row>
    <row r="12" customFormat="false" ht="15" hidden="false" customHeight="false" outlineLevel="0" collapsed="false">
      <c r="A12" s="3" t="s">
        <v>363</v>
      </c>
    </row>
    <row r="13" customFormat="false" ht="23.85" hidden="false" customHeight="false" outlineLevel="0" collapsed="false">
      <c r="A13" s="3" t="s">
        <v>364</v>
      </c>
    </row>
    <row r="14" customFormat="false" ht="15" hidden="false" customHeight="false" outlineLevel="0" collapsed="false">
      <c r="A14" s="3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2026-10-06T14:11:38Z</dcterms:created>
  <dc:creator>openpyxl</dc:creator>
  <dc:description/>
  <dc:language>en-GB</dc:language>
  <cp:lastModifiedBy/>
  <dcterms:modified xsi:type="dcterms:W3CDTF">2026-10-06T14:11:38Z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