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10.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Cover" sheetId="1" state="visible" r:id="rId3"/>
    <sheet name="Assumptions" sheetId="2" state="visible" r:id="rId4"/>
    <sheet name="Shares" sheetId="3" state="visible" r:id="rId5"/>
    <sheet name="Quarterly" sheetId="4" state="visible" r:id="rId6"/>
    <sheet name="Financials" sheetId="5" state="visible" r:id="rId7"/>
    <sheet name="Scenarios" sheetId="6" state="visible" r:id="rId8"/>
    <sheet name="Valuation" sheetId="7" state="visible" r:id="rId9"/>
    <sheet name="Sensitivity" sheetId="8" state="visible" r:id="rId10"/>
    <sheet name="Peers" sheetId="9" state="visible" r:id="rId11"/>
    <sheet name="Sources" sheetId="10"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<sst xmlns="http://schemas.openxmlformats.org/spreadsheetml/2006/main" count="400" uniqueCount="320">
  <si>
    <t xml:space="preserve">LUMENTUM (NASDAQ: LITE)  INITIATION MODEL</t>
  </si>
  <si>
    <t xml:space="preserve">Tommy Lau | Lumentum (Nasdaq: LITE) | 6 October 2026 | Non-GAAP basis; fiscal years to late June | Personal research, not investment advice.</t>
  </si>
  <si>
    <t xml:space="preserve">Item</t>
  </si>
  <si>
    <t xml:space="preserve">Value</t>
  </si>
  <si>
    <t xml:space="preserve">Note</t>
  </si>
  <si>
    <t xml:space="preserve">Call</t>
  </si>
  <si>
    <t xml:space="preserve">Tommy Lau's call.</t>
  </si>
  <si>
    <t xml:space="preserve">Conviction</t>
  </si>
  <si>
    <t xml:space="preserve">Medium</t>
  </si>
  <si>
    <t xml:space="preserve">Judgement, not formula.</t>
  </si>
  <si>
    <t xml:space="preserve">Reference price, US$</t>
  </si>
  <si>
    <t xml:space="preserve">Nasdaq close, 5 October 2026.</t>
  </si>
  <si>
    <t xml:space="preserve">Base value, US$</t>
  </si>
  <si>
    <t xml:space="preserve">35x FY28E EPS.</t>
  </si>
  <si>
    <t xml:space="preserve">Base value against the price</t>
  </si>
  <si>
    <t xml:space="preserve">Probability-weighted value, US$</t>
  </si>
  <si>
    <t xml:space="preserve">25 / 50 / 25 bear / base / bull.</t>
  </si>
  <si>
    <t xml:space="preserve">FY27E / FY28E EPS, US$</t>
  </si>
  <si>
    <t xml:space="preserve">Own estimates, non-GAAP, diluted.</t>
  </si>
  <si>
    <t xml:space="preserve">Horizon</t>
  </si>
  <si>
    <t xml:space="preserve">12 months, to October 2027</t>
  </si>
  <si>
    <t xml:space="preserve">Wrong if</t>
  </si>
  <si>
    <t xml:space="preserve">See note</t>
  </si>
  <si>
    <t xml:space="preserve">FY27 revenue of US$6.8bn or more with GAAP gross margin of 50% or more in its fourth quarter; or the shares close above US$1,450 or below US$750 by October 2027.</t>
  </si>
  <si>
    <t xml:space="preserve">Revisit if</t>
  </si>
  <si>
    <t xml:space="preserve">A price below about US$860 (consider long) or above about US$1,320 (consider short); GAAP gross margin below 44% in any quarter while revenue grows; or December 2026 quarter revenue above US$1.6bn with GAAP gross margin above 50%.</t>
  </si>
  <si>
    <t xml:space="preserve">Tabs</t>
  </si>
  <si>
    <t xml:space="preserve">Assumptions</t>
  </si>
  <si>
    <t xml:space="preserve">Every input, with its source. Change the yellow cells to move the value.</t>
  </si>
  <si>
    <t xml:space="preserve">Shares</t>
  </si>
  <si>
    <t xml:space="preserve">Common, preferred, convertible notes, capped call, awards; net cash; Nvidia's stake.</t>
  </si>
  <si>
    <t xml:space="preserve">Quarterly</t>
  </si>
  <si>
    <t xml:space="preserve">Q1 FY25 to Q4 FY26 reported, my FY27 by quarter.</t>
  </si>
  <si>
    <t xml:space="preserve">Financials</t>
  </si>
  <si>
    <t xml:space="preserve">FY24A to FY28E: revenue, margins, operating income, net profit, EPS, P/E, consensus.</t>
  </si>
  <si>
    <t xml:space="preserve">Scenarios</t>
  </si>
  <si>
    <t xml:space="preserve">Bear / base / bull and the probability-weighted value.</t>
  </si>
  <si>
    <t xml:space="preserve">Valuation</t>
  </si>
  <si>
    <t xml:space="preserve">Base value, market value, multiples, what the price needs.</t>
  </si>
  <si>
    <t xml:space="preserve">Sensitivity</t>
  </si>
  <si>
    <t xml:space="preserve">FY28E EPS against multiple.</t>
  </si>
  <si>
    <t xml:space="preserve">Peers</t>
  </si>
  <si>
    <t xml:space="preserve">Forward multiples used to set the base multiple.</t>
  </si>
  <si>
    <t xml:space="preserve">Sources</t>
  </si>
  <si>
    <t xml:space="preserve">Every source used.</t>
  </si>
  <si>
    <t xml:space="preserve">Colour key: blue = hardcoded input; yellow fill = my own assumption; green = link to another tab; black = formula.</t>
  </si>
  <si>
    <t xml:space="preserve">Companion note: 2026-10-06_Lumentum_Initiation.pdf. Personal research, not investment advice.</t>
  </si>
  <si>
    <t xml:space="preserve">ASSUMPTIONS AND INPUTS</t>
  </si>
  <si>
    <t xml:space="preserve">Blue = hardcoded input. Yellow fill = my own assumption (change these to move the value). Green = link to another tab. Black = formula. US$ billion unless stated; per-share figures in US$; shares in billions.</t>
  </si>
  <si>
    <t xml:space="preserve">Input</t>
  </si>
  <si>
    <t xml:space="preserve">Unit</t>
  </si>
  <si>
    <t xml:space="preserve">Source / note</t>
  </si>
  <si>
    <t xml:space="preserve">MARKET (retrieved 6 October 2026)</t>
  </si>
  <si>
    <t xml:space="preserve">Share price (Nasdaq: LITE)</t>
  </si>
  <si>
    <t xml:space="preserve">US$</t>
  </si>
  <si>
    <t xml:space="preserve">Nasdaq close, 5 October 2026. Nasdaq.com historical data (Yahoo Finance refused requests on 6 Oct).</t>
  </si>
  <si>
    <t xml:space="preserve">52-week high (intraday, 5 October 2026)</t>
  </si>
  <si>
    <t xml:space="preserve">Nasdaq.com.</t>
  </si>
  <si>
    <t xml:space="preserve">Highest close (5 October 2026)</t>
  </si>
  <si>
    <t xml:space="preserve">52-week low (intraday, 10 October 2025)</t>
  </si>
  <si>
    <t xml:space="preserve">Lowest close (10 October 2025)</t>
  </si>
  <si>
    <t xml:space="preserve">Close, 31 Dec 2025</t>
  </si>
  <si>
    <t xml:space="preserve">Common shares outstanding, 14 Aug 2026</t>
  </si>
  <si>
    <t xml:space="preserve">bn</t>
  </si>
  <si>
    <t xml:space="preserve">10-K cover: 89.7 million.</t>
  </si>
  <si>
    <t xml:space="preserve">Series A convertible preferred (Nvidia), converts 1 for 1</t>
  </si>
  <si>
    <t xml:space="preserve">8-K of 2 March 2026: 2,876,415 shares.</t>
  </si>
  <si>
    <t xml:space="preserve">Price Nvidia paid per preferred share</t>
  </si>
  <si>
    <t xml:space="preserve">8-K of 2 March 2026: US$2.0bn in total.</t>
  </si>
  <si>
    <t xml:space="preserve">Cash, equivalents and short-term investments, 27 Jun 2026</t>
  </si>
  <si>
    <t xml:space="preserve">US$bn</t>
  </si>
  <si>
    <t xml:space="preserve">Q4 FY26 release: 2,043.5 + 694.9.</t>
  </si>
  <si>
    <t xml:space="preserve">Japan term loans (SMBC, Mizuho), 27 Jun 2026</t>
  </si>
  <si>
    <t xml:space="preserve">10-K.</t>
  </si>
  <si>
    <t xml:space="preserve">FY27 consensus EPS</t>
  </si>
  <si>
    <t xml:space="preserve">stockanalysis.com, 23 analysts. Nasdaq.com (Zacks): 19.78, 8 estimates.</t>
  </si>
  <si>
    <t xml:space="preserve">FY27 consensus EPS, Zacks</t>
  </si>
  <si>
    <t xml:space="preserve">Nasdaq.com (Zacks), 8 estimates.</t>
  </si>
  <si>
    <t xml:space="preserve">FY28 consensus EPS</t>
  </si>
  <si>
    <t xml:space="preserve">Nasdaq.com (Zacks), 6 estimates; range 23.24 to 36.80.</t>
  </si>
  <si>
    <t xml:space="preserve">Q1 FY27 consensus EPS</t>
  </si>
  <si>
    <t xml:space="preserve">Nasdaq.com (Zacks), 6 estimates; below the company's own guide, so likely stale.</t>
  </si>
  <si>
    <t xml:space="preserve">Forward P/E shown by stockanalysis.com</t>
  </si>
  <si>
    <t xml:space="preserve">x</t>
  </si>
  <si>
    <t xml:space="preserve">stockanalysis.com, 6 October 2026, intraday.</t>
  </si>
  <si>
    <t xml:space="preserve">Average analyst target</t>
  </si>
  <si>
    <t xml:space="preserve">stockanalysis.com, 26 analysts; median 1,168, range 820 to 1,400.</t>
  </si>
  <si>
    <t xml:space="preserve">REPORTED (Lumentum releases, Form 10-K, Q4 FY26 presentation)</t>
  </si>
  <si>
    <t xml:space="preserve">Q1 FY27 revenue guide, low</t>
  </si>
  <si>
    <t xml:space="preserve">Release of 11 August 2026.</t>
  </si>
  <si>
    <t xml:space="preserve">Q1 FY27 revenue guide, high</t>
  </si>
  <si>
    <t xml:space="preserve">Same.</t>
  </si>
  <si>
    <t xml:space="preserve">Q1 FY27 non-GAAP operating margin guide, low</t>
  </si>
  <si>
    <t xml:space="preserve">%</t>
  </si>
  <si>
    <t xml:space="preserve">Q1 FY27 non-GAAP operating margin guide, high</t>
  </si>
  <si>
    <t xml:space="preserve">Q1 FY27 non-GAAP EPS guide, low</t>
  </si>
  <si>
    <t xml:space="preserve">Q1 FY27 non-GAAP EPS guide, high</t>
  </si>
  <si>
    <t xml:space="preserve">Q1 FY27 diluted share guide</t>
  </si>
  <si>
    <t xml:space="preserve">Q4 FY26 presentation: 102.0 million.</t>
  </si>
  <si>
    <t xml:space="preserve">Non-GAAP tax rate</t>
  </si>
  <si>
    <t xml:space="preserve">Q4 FY26 presentation and release: 16.5%.</t>
  </si>
  <si>
    <t xml:space="preserve">Stock-based pay and related payroll tax, FY26 (excluded from non-GAAP)</t>
  </si>
  <si>
    <t xml:space="preserve">Q4 FY26 reconciliation.</t>
  </si>
  <si>
    <t xml:space="preserve">Capital spending, FY26</t>
  </si>
  <si>
    <t xml:space="preserve">10-K cash flow.</t>
  </si>
  <si>
    <t xml:space="preserve">Operating cash flow, FY26</t>
  </si>
  <si>
    <t xml:space="preserve">Revenue, FY23</t>
  </si>
  <si>
    <t xml:space="preserve">Q4 FY24 release.</t>
  </si>
  <si>
    <t xml:space="preserve">MY ASSUMPTIONS</t>
  </si>
  <si>
    <t xml:space="preserve">Revenue, Q1 FY27 (to Sep 2026)</t>
  </si>
  <si>
    <t xml:space="preserve">MINE. Guide 1.225 to 1.275.</t>
  </si>
  <si>
    <t xml:space="preserve">Revenue, Q2 FY27 (to Dec 2026)</t>
  </si>
  <si>
    <t xml:space="preserve">MINE.</t>
  </si>
  <si>
    <t xml:space="preserve">Revenue, Q3 FY27 (to Mar 2027)</t>
  </si>
  <si>
    <t xml:space="preserve">Revenue, Q4 FY27 (to Jun 2027)</t>
  </si>
  <si>
    <t xml:space="preserve">Non-GAAP operating margin, Q1 FY27</t>
  </si>
  <si>
    <t xml:space="preserve">MINE. Guide 39.5 to 40.5%.</t>
  </si>
  <si>
    <t xml:space="preserve">Non-GAAP operating margin, Q2 FY27</t>
  </si>
  <si>
    <t xml:space="preserve">Non-GAAP operating margin, Q3 FY27</t>
  </si>
  <si>
    <t xml:space="preserve">Non-GAAP operating margin, Q4 FY27</t>
  </si>
  <si>
    <t xml:space="preserve">Non-GAAP other income per quarter, FY27</t>
  </si>
  <si>
    <t xml:space="preserve">MINE. Q4 FY26: 0.022; cash falls as notes convert.</t>
  </si>
  <si>
    <t xml:space="preserve">Non-GAAP other income, FY28</t>
  </si>
  <si>
    <t xml:space="preserve">Net new diluted shares, FY28 on FY27</t>
  </si>
  <si>
    <t xml:space="preserve">MINE. Awards and note conversions.</t>
  </si>
  <si>
    <t xml:space="preserve">Target multiple on FY28E EPS (base)</t>
  </si>
  <si>
    <t xml:space="preserve">MINE. Median forward P/E of five optical peers (Peers tab).</t>
  </si>
  <si>
    <t xml:space="preserve">SHARE COUNT AND BALANCE SHEET</t>
  </si>
  <si>
    <t xml:space="preserve">Convertible notes, 27 Jun 2026</t>
  </si>
  <si>
    <t xml:space="preserve">Principal, US$bn</t>
  </si>
  <si>
    <t xml:space="preserve">Conversion price, US$</t>
  </si>
  <si>
    <t xml:space="preserve">Net shares at price, bn</t>
  </si>
  <si>
    <t xml:space="preserve">Working / note</t>
  </si>
  <si>
    <t xml:space="preserve">2032 notes, 0.375%</t>
  </si>
  <si>
    <t xml:space="preserve">Principal paid in cash; value above the conversion price in shares (10-K).</t>
  </si>
  <si>
    <t xml:space="preserve">2029 notes, 1.50%</t>
  </si>
  <si>
    <t xml:space="preserve">2028 notes, 0.50%</t>
  </si>
  <si>
    <t xml:space="preserve">2026 notes, 0.50%</t>
  </si>
  <si>
    <t xml:space="preserve">Total</t>
  </si>
  <si>
    <t xml:space="preserve">2032 capped call cap price, US$</t>
  </si>
  <si>
    <t xml:space="preserve">10-K. Offsets 2032 note dilution up to this price.</t>
  </si>
  <si>
    <t xml:space="preserve">Shares the capped call offsets, bn</t>
  </si>
  <si>
    <t xml:space="preserve">At or above the cap.</t>
  </si>
  <si>
    <t xml:space="preserve">Common shares outstanding, 14 Aug 2026, bn</t>
  </si>
  <si>
    <t xml:space="preserve">Preferred shares (Nvidia), bn</t>
  </si>
  <si>
    <t xml:space="preserve">Staff awards in Q4 FY26 diluted count, bn</t>
  </si>
  <si>
    <t xml:space="preserve">Q4 FY26 release, note 8: about 3.1 million (treasury method).</t>
  </si>
  <si>
    <t xml:space="preserve">My diluted count at the price, bn</t>
  </si>
  <si>
    <t xml:space="preserve">Against the company's 102.0m guide for Q1 FY27.</t>
  </si>
  <si>
    <t xml:space="preserve">Company Q1 FY27 diluted share guide, bn</t>
  </si>
  <si>
    <t xml:space="preserve">Used for FY27E.</t>
  </si>
  <si>
    <t xml:space="preserve">Debt: notes principal plus Japan loans, US$bn</t>
  </si>
  <si>
    <t xml:space="preserve">Net cash, US$bn</t>
  </si>
  <si>
    <t xml:space="preserve">27 June 2026.</t>
  </si>
  <si>
    <t xml:space="preserve">Early conversion requests by 14 Aug 2026, principal, US$bn</t>
  </si>
  <si>
    <t xml:space="preserve">10-K. Principal settles in cash.</t>
  </si>
  <si>
    <t xml:space="preserve">Nvidia preferred stake at the price, US$bn</t>
  </si>
  <si>
    <t xml:space="preserve">Nvidia stake against the price it paid</t>
  </si>
  <si>
    <t xml:space="preserve">Preferred as a share of common plus preferred</t>
  </si>
  <si>
    <t xml:space="preserve">Stock-based pay against FY26 non-GAAP operating income</t>
  </si>
  <si>
    <t xml:space="preserve">QUARTERLY HISTORY, Q1 FY25 TO Q4 FY26, AND MY FY27 BY QUARTER</t>
  </si>
  <si>
    <t xml:space="preserve">US$ billion unless stated</t>
  </si>
  <si>
    <t xml:space="preserve">Q1 25</t>
  </si>
  <si>
    <t xml:space="preserve">Q2 25</t>
  </si>
  <si>
    <t xml:space="preserve">Q3 25</t>
  </si>
  <si>
    <t xml:space="preserve">Q4 25</t>
  </si>
  <si>
    <t xml:space="preserve">Q1 26</t>
  </si>
  <si>
    <t xml:space="preserve">Q2 26</t>
  </si>
  <si>
    <t xml:space="preserve">Q3 26</t>
  </si>
  <si>
    <t xml:space="preserve">Q4 26</t>
  </si>
  <si>
    <t xml:space="preserve">Q1 27E</t>
  </si>
  <si>
    <t xml:space="preserve">Q2 27E</t>
  </si>
  <si>
    <t xml:space="preserve">Q3 27E</t>
  </si>
  <si>
    <t xml:space="preserve">Q4 27E</t>
  </si>
  <si>
    <t xml:space="preserve">Revenue</t>
  </si>
  <si>
    <t xml:space="preserve">Components</t>
  </si>
  <si>
    <t xml:space="preserve">Systems</t>
  </si>
  <si>
    <t xml:space="preserve">Revenue growth on a year earlier</t>
  </si>
  <si>
    <t xml:space="preserve">Gross margin, GAAP</t>
  </si>
  <si>
    <t xml:space="preserve">Gross margin, non-GAAP</t>
  </si>
  <si>
    <t xml:space="preserve">Operating margin, non-GAAP (FY27 mine)</t>
  </si>
  <si>
    <t xml:space="preserve">Operating income, non-GAAP</t>
  </si>
  <si>
    <t xml:space="preserve">Net profit, non-GAAP (FY27 mine)</t>
  </si>
  <si>
    <t xml:space="preserve">Diluted shares, bn (FY27: company guide)</t>
  </si>
  <si>
    <t xml:space="preserve">Diluted EPS, US$ (reported; FY27 mine)</t>
  </si>
  <si>
    <t xml:space="preserve">Checks</t>
  </si>
  <si>
    <t xml:space="preserve">Trailing four quarters EPS to Q4 FY26</t>
  </si>
  <si>
    <t xml:space="preserve">Revenue growth, Q4 FY26 on Q4 FY25</t>
  </si>
  <si>
    <t xml:space="preserve">Components growth, Q4 FY26</t>
  </si>
  <si>
    <t xml:space="preserve">Systems growth, Q4 FY26</t>
  </si>
  <si>
    <t xml:space="preserve">GAAP gross margin rise, Q4 FY25 to Q4 FY26, points</t>
  </si>
  <si>
    <t xml:space="preserve">Q1 FY27E EPS against the guide (low / high)</t>
  </si>
  <si>
    <t xml:space="preserve">Q1 FY27E operating margin</t>
  </si>
  <si>
    <t xml:space="preserve">Source: Lumentum results releases (Exhibit 99.1 to Form 8-K), 7 November 2024 to 11 August 2026. Non-GAAP figures as recast from FY25.</t>
  </si>
  <si>
    <t xml:space="preserve">Historical operating income is revenue x reported non-GAAP operating margin (Q4 FY26 reported: 0.3688).</t>
  </si>
  <si>
    <t xml:space="preserve">FY27E quarters are my estimates: EPS = (revenue x operating margin + other income) x (1 - 16.5%) / 102.0m shares.</t>
  </si>
  <si>
    <t xml:space="preserve">FINANCIAL SUMMARY AND FORECASTS (US$ billion unless stated, non-GAAP basis)</t>
  </si>
  <si>
    <t xml:space="preserve">FY24A</t>
  </si>
  <si>
    <t xml:space="preserve">FY25A</t>
  </si>
  <si>
    <t xml:space="preserve">FY26A</t>
  </si>
  <si>
    <t xml:space="preserve">FY27E*</t>
  </si>
  <si>
    <t xml:space="preserve">FY28E*</t>
  </si>
  <si>
    <t xml:space="preserve">Revenue growth</t>
  </si>
  <si>
    <t xml:space="preserve">Operating income</t>
  </si>
  <si>
    <t xml:space="preserve">Operating margin</t>
  </si>
  <si>
    <t xml:space="preserve">Other income</t>
  </si>
  <si>
    <t xml:space="preserve">Tax rate</t>
  </si>
  <si>
    <t xml:space="preserve">Net profit</t>
  </si>
  <si>
    <t xml:space="preserve">Diluted shares, bn</t>
  </si>
  <si>
    <t xml:space="preserve">Diluted EPS, US$</t>
  </si>
  <si>
    <t xml:space="preserve">EPS growth</t>
  </si>
  <si>
    <t xml:space="preserve">P/E at reference price</t>
  </si>
  <si>
    <t xml:space="preserve">Consensus EPS, US$</t>
  </si>
  <si>
    <t xml:space="preserve">Mine against consensus</t>
  </si>
  <si>
    <t xml:space="preserve">P/E on consensus</t>
  </si>
  <si>
    <t xml:space="preserve">*FY27E and FY28E are my own estimates. FY27E sums the Quarterly tab. FY28E uses the base case on the Scenarios tab (row 6).</t>
  </si>
  <si>
    <t xml:space="preserve">FY24A to FY26A as reported (FY24 non-GAAP recast in the Q4 FY25 release). FY26 net profit and EPS exclude a US$7.76bn non-cash loss on debt extinguishment.</t>
  </si>
  <si>
    <t xml:space="preserve">FY27 consensus from stockanalysis.com (23 analysts); FY28 from Nasdaq.com (Zacks, 6 estimates).</t>
  </si>
  <si>
    <t xml:space="preserve">Note check: FY27E revenue 6.12, EPS 21.14; FY28E revenue 8.26, EPS 28.28.</t>
  </si>
  <si>
    <t xml:space="preserve">THREE CASES, TWELVE MONTHS OUT (VALUED ON FY28E)</t>
  </si>
  <si>
    <t xml:space="preserve">Case</t>
  </si>
  <si>
    <t xml:space="preserve">Growth FY28</t>
  </si>
  <si>
    <t xml:space="preserve">Op. margin FY28</t>
  </si>
  <si>
    <t xml:space="preserve">FY28 revenue</t>
  </si>
  <si>
    <t xml:space="preserve">FY28 op. income</t>
  </si>
  <si>
    <t xml:space="preserve">FY28 net profit</t>
  </si>
  <si>
    <t xml:space="preserve">FY28 EPS</t>
  </si>
  <si>
    <t xml:space="preserve">Multiple</t>
  </si>
  <si>
    <t xml:space="preserve">Value, US$</t>
  </si>
  <si>
    <t xml:space="preserve">vs price</t>
  </si>
  <si>
    <t xml:space="preserve">Bear</t>
  </si>
  <si>
    <t xml:space="preserve">Base</t>
  </si>
  <si>
    <t xml:space="preserve">Bull</t>
  </si>
  <si>
    <t xml:space="preserve">Probability</t>
  </si>
  <si>
    <t xml:space="preserve">must be 100%</t>
  </si>
  <si>
    <t xml:space="preserve">All cases start from my FY27E revenue (Financials tab) and use FY28 diluted shares. Operating margin is non-GAAP.</t>
  </si>
  <si>
    <t xml:space="preserve">Bear: new capacity (Japan, Greensboro, Coherent's six-inch wafers) meets an inventory pause, as in FY24. Bull: the shortage lasts through calendar 2028.</t>
  </si>
  <si>
    <t xml:space="preserve">The base row (6) drives the Financials tab for FY28E.</t>
  </si>
  <si>
    <t xml:space="preserve">VALUATION: 35x FY28E EPS, TWELVE MONTHS OUT</t>
  </si>
  <si>
    <t xml:space="preserve">Line</t>
  </si>
  <si>
    <t xml:space="preserve">FY28E diluted EPS, US$</t>
  </si>
  <si>
    <t xml:space="preserve">By October 2027 the market will be pricing FY28 (year to June 2028).</t>
  </si>
  <si>
    <t xml:space="preserve">Base multiple, x</t>
  </si>
  <si>
    <t xml:space="preserve">Assumptions tab.</t>
  </si>
  <si>
    <t xml:space="preserve">Base-case value per share, US$</t>
  </si>
  <si>
    <t xml:space="preserve">EPS x multiple.</t>
  </si>
  <si>
    <t xml:space="preserve">Scenarios tab.</t>
  </si>
  <si>
    <t xml:space="preserve">Rule on value alone (long at 15% above, short at 25% below)</t>
  </si>
  <si>
    <t xml:space="preserve">Mechanical only; wider on the short side because a short's losses are open-ended. The call below is judgement.</t>
  </si>
  <si>
    <t xml:space="preserve">CALL</t>
  </si>
  <si>
    <t xml:space="preserve">NO CALL</t>
  </si>
  <si>
    <t xml:space="preserve">No call, leaning short. Tommy Lau's call, published 7 Oct 2026.</t>
  </si>
  <si>
    <t xml:space="preserve">Market value on common shares, US$bn</t>
  </si>
  <si>
    <t xml:space="preserve">Market value with the preferred, US$bn</t>
  </si>
  <si>
    <t xml:space="preserve">Enterprise value, US$bn</t>
  </si>
  <si>
    <t xml:space="preserve">Change since the lowest close (10 Oct 2025)</t>
  </si>
  <si>
    <t xml:space="preserve">Change since 31 Dec 2025</t>
  </si>
  <si>
    <t xml:space="preserve">P/E on my FY27E</t>
  </si>
  <si>
    <t xml:space="preserve">P/E on my FY28E</t>
  </si>
  <si>
    <t xml:space="preserve">P/E on FY27 consensus</t>
  </si>
  <si>
    <t xml:space="preserve">stockanalysis.com.</t>
  </si>
  <si>
    <t xml:space="preserve">P/E on FY28 consensus</t>
  </si>
  <si>
    <t xml:space="preserve">Nasdaq.com (Zacks).</t>
  </si>
  <si>
    <t xml:space="preserve">P/E on trailing four quarters EPS</t>
  </si>
  <si>
    <t xml:space="preserve">Sum of quarterly EPS (US$8.37) differs from FY26 annual EPS (US$8.67) because share counts differ by quarter. The note uses the annual P/E (Financials!D17).</t>
  </si>
  <si>
    <t xml:space="preserve">P/E on Q1 FY27 guided EPS midpoint x 4</t>
  </si>
  <si>
    <t xml:space="preserve">FY28 EPS the price needs at the base multiple, US$</t>
  </si>
  <si>
    <t xml:space="preserve">What the market prices in.</t>
  </si>
  <si>
    <t xml:space="preserve">FY28 operating income that needs, US$bn</t>
  </si>
  <si>
    <t xml:space="preserve">FY28 revenue that needs at the base margin, US$bn</t>
  </si>
  <si>
    <t xml:space="preserve">Against my base FY28E.</t>
  </si>
  <si>
    <t xml:space="preserve">That as growth on my FY27E</t>
  </si>
  <si>
    <t xml:space="preserve">That against FY26 revenue (times)</t>
  </si>
  <si>
    <t xml:space="preserve">FY28 revenue the Zacks consensus EPS needs at the base margin, US$bn</t>
  </si>
  <si>
    <t xml:space="preserve">Price that puts the base case 15% above (revisit as long)</t>
  </si>
  <si>
    <t xml:space="preserve">Price that puts the base case 25% below (revisit as short)</t>
  </si>
  <si>
    <t xml:space="preserve">VALUE PER SHARE: FY28E EPS AGAINST MULTIPLE (US$)</t>
  </si>
  <si>
    <t xml:space="preserve">FY28 EPS \ multiple</t>
  </si>
  <si>
    <t xml:space="preserve">Cells above the reference price</t>
  </si>
  <si>
    <t xml:space="preserve">of 9</t>
  </si>
  <si>
    <t xml:space="preserve">Middle row links to the model's FY28E EPS and the middle column to the base multiple.</t>
  </si>
  <si>
    <t xml:space="preserve">PEER MULTIPLES (FORWARD P/E, stockanalysis.com, 6 OCTOBER 2026)</t>
  </si>
  <si>
    <t xml:space="preserve">Company</t>
  </si>
  <si>
    <t xml:space="preserve">Ticker</t>
  </si>
  <si>
    <t xml:space="preserve">Forward P/E</t>
  </si>
  <si>
    <t xml:space="preserve">What they make</t>
  </si>
  <si>
    <t xml:space="preserve">Lumentum</t>
  </si>
  <si>
    <t xml:space="preserve">Nasdaq: LITE</t>
  </si>
  <si>
    <t xml:space="preserve">Indium phosphide lasers (EML, CW), transceivers, optical circuit switches, industrial lasers</t>
  </si>
  <si>
    <t xml:space="preserve">Applied Optoelectronics</t>
  </si>
  <si>
    <t xml:space="preserve">Nasdaq: AAOI</t>
  </si>
  <si>
    <t xml:space="preserve">Lasers and transceivers for data centres and cable networks</t>
  </si>
  <si>
    <t xml:space="preserve">Ciena</t>
  </si>
  <si>
    <t xml:space="preserve">NYSE: CIEN</t>
  </si>
  <si>
    <t xml:space="preserve">Optical networking systems and coherent modules</t>
  </si>
  <si>
    <t xml:space="preserve">Coherent</t>
  </si>
  <si>
    <t xml:space="preserve">NYSE: COHR</t>
  </si>
  <si>
    <t xml:space="preserve">Indium phosphide and other lasers, transceivers, materials</t>
  </si>
  <si>
    <t xml:space="preserve">Fabrinet</t>
  </si>
  <si>
    <t xml:space="preserve">NYSE: FN</t>
  </si>
  <si>
    <t xml:space="preserve">Contract assembly of optical modules</t>
  </si>
  <si>
    <t xml:space="preserve">Broadcom</t>
  </si>
  <si>
    <t xml:space="preserve">Nasdaq: AVGO</t>
  </si>
  <si>
    <t xml:space="preserve">Networking chips, custom AI chips, EML and VCSEL lasers</t>
  </si>
  <si>
    <t xml:space="preserve">Median, five optical peers (excluding Lumentum)</t>
  </si>
  <si>
    <t xml:space="preserve">Forward P/E as shown on stockanalysis.com during US trading on 6 October 2026. Multiples only, to set the base multiple.</t>
  </si>
  <si>
    <t xml:space="preserve">No view on the peers' shares is expressed.</t>
  </si>
  <si>
    <t xml:space="preserve">SOURCES</t>
  </si>
  <si>
    <t xml:space="preserve">No.</t>
  </si>
  <si>
    <t xml:space="preserve">Source and what it supports</t>
  </si>
  <si>
    <t xml:space="preserve">Lumentum results releases (Exhibit 99.1 to Form 8-K): Q4 FY24 (14 August 2024), Q1 FY25 (7 November 2024) to Q4 FY26 (11 August 2026), with comparatives: revenue, components and systems, GAAP and non-GAAP margins, EPS, diluted shares, guidance.</t>
  </si>
  <si>
    <t xml:space="preserve">Lumentum Form 10-K for the year to 27 June 2026 (filed 17 August 2026): shares outstanding (89.7m, 14 August 2026), preferred stock, convertible notes and conversion prices, capped call, early conversion requests, Japan loans, customer concentration, capital spending, cash flow, Greensboro (17 March 2026, US$38.0m), Sagamihara.</t>
  </si>
  <si>
    <t xml:space="preserve">Lumentum Form 8-K of 2 March 2026 (Items 3.02, 5.03, 7.01) and joint release with Nvidia: 2,876,415 Series A convertible preferred shares at US$695.31; non-exclusive multibillion purchase commitment and capacity rights.</t>
  </si>
  <si>
    <t xml:space="preserve">Coherent Form 8-K, Exhibit 99.1, 2 March 2026: Nvidia's US$2bn investment in Coherent with a purchase commitment and capacity rights. Coherent release of 25 March 2024 on six-inch indium phosphide wafers.</t>
  </si>
  <si>
    <t xml:space="preserve">Lumentum Q4 FY26 earnings presentation and call, 11 August 2026: 200G EMLs above 25% of EML revenue; Q1 FY27 guide incl. 102.0m shares and 16.5% tax; supply behind demand; Japanese fabs; Greensboro timing; repricing.</t>
  </si>
  <si>
    <t xml:space="preserve">Lumentum investor relations event listing: Q1 FY27 results call, 5 November 2026, 5pm ET.</t>
  </si>
  <si>
    <t xml:space="preserve">Nasdaq.com historical prices, retrieved 6 October 2026: daily and month-end closes, 52-week range. (Yahoo Finance chart API refused requests on 6 October 2026.)</t>
  </si>
  <si>
    <t xml:space="preserve">stockanalysis.com, retrieved 6 October 2026: FY27 consensus EPS and revenue, average target, forward P/E for Lumentum and peers. Nasdaq.com (Zacks): FY27, FY28 and Q1 FY27 consensus EPS.</t>
  </si>
  <si>
    <t xml:space="preserve">The Physical Layer, 'Nvidia paid Lumentum $2 billion for lasers, because silicon cannot make light', 5 October 2026: https://thephysicallayer.fyi/journal/lumentum-makes-the-light/</t>
  </si>
  <si>
    <t xml:space="preserve">Estimates for FY27 and FY28 are the author's own. Personal research, not investment advice. I hold no position in Lumentum.</t>
  </si>
</sst>
</file>

<file path=xl/styles.xml><?xml version="1.0" encoding="utf-8"?>
<styleSheet xmlns="http://schemas.openxmlformats.org/spreadsheetml/2006/main">
  <numFmts count="12">
    <numFmt numFmtId="164" formatCode="General"/>
    <numFmt numFmtId="165" formatCode="&quot;US$&quot;#,##0.00"/>
    <numFmt numFmtId="166" formatCode="0.0%"/>
    <numFmt numFmtId="167" formatCode="#,##0.00"/>
    <numFmt numFmtId="168" formatCode="#,##0.0000"/>
    <numFmt numFmtId="169" formatCode="#,##0.000"/>
    <numFmt numFmtId="170" formatCode="0\x"/>
    <numFmt numFmtId="171" formatCode="#,##0.0"/>
    <numFmt numFmtId="172" formatCode="0.0\x"/>
    <numFmt numFmtId="173" formatCode="0%"/>
    <numFmt numFmtId="174" formatCode="0.00\x"/>
    <numFmt numFmtId="175" formatCode="&quot;US$&quot;#,##0"/>
  </numFmts>
  <fonts count="15">
    <font>
      <sz val="11"/>
      <color theme="1"/>
      <name val="Calibri"/>
      <family val="2"/>
      <charset val="1"/>
    </font>
    <font>
      <sz val="10"/>
      <name val="Arial"/>
      <family val="0"/>
    </font>
    <font>
      <sz val="10"/>
      <name val="Arial"/>
      <family val="0"/>
    </font>
    <font>
      <sz val="10"/>
      <name val="Arial"/>
      <family val="0"/>
    </font>
    <font>
      <b val="true"/>
      <sz val="12"/>
      <color rgb="FF1F3864"/>
      <name val="Cambria"/>
      <family val="0"/>
      <charset val="1"/>
    </font>
    <font>
      <sz val="9"/>
      <color rgb="FF595959"/>
      <name val="Cambria"/>
      <family val="0"/>
      <charset val="1"/>
    </font>
    <font>
      <b val="true"/>
      <sz val="10"/>
      <color rgb="FFFFFFFF"/>
      <name val="Cambria"/>
      <family val="0"/>
      <charset val="1"/>
    </font>
    <font>
      <b val="true"/>
      <sz val="11"/>
      <name val="Cambria"/>
      <family val="0"/>
      <charset val="1"/>
    </font>
    <font>
      <sz val="11"/>
      <color rgb="FF008000"/>
      <name val="Cambria"/>
      <family val="0"/>
      <charset val="1"/>
    </font>
    <font>
      <sz val="11"/>
      <color rgb="FF0000FF"/>
      <name val="Cambria"/>
      <family val="0"/>
      <charset val="1"/>
    </font>
    <font>
      <b val="true"/>
      <sz val="11"/>
      <color rgb="FF1F3864"/>
      <name val="Cambria"/>
      <family val="0"/>
      <charset val="1"/>
    </font>
    <font>
      <i val="true"/>
      <sz val="9"/>
      <color rgb="FF595959"/>
      <name val="Cambria"/>
      <family val="0"/>
      <charset val="1"/>
    </font>
    <font>
      <b val="true"/>
      <sz val="11"/>
      <color rgb="FF0000FF"/>
      <name val="Cambria"/>
      <family val="0"/>
      <charset val="1"/>
    </font>
    <font>
      <sz val="11"/>
      <name val="Cambria"/>
      <family val="0"/>
      <charset val="1"/>
    </font>
    <font>
      <b val="true"/>
      <sz val="11"/>
      <color rgb="FFFFFFFF"/>
      <name val="Cambria"/>
      <family val="0"/>
      <charset val="1"/>
    </font>
  </fonts>
  <fills count="5">
    <fill>
      <patternFill patternType="none"/>
    </fill>
    <fill>
      <patternFill patternType="gray125"/>
    </fill>
    <fill>
      <patternFill patternType="solid">
        <fgColor rgb="FF1F3864"/>
        <bgColor rgb="FF333333"/>
      </patternFill>
    </fill>
    <fill>
      <patternFill patternType="solid">
        <fgColor rgb="FFFFFF00"/>
        <bgColor rgb="FFFFFF00"/>
      </patternFill>
    </fill>
    <fill>
      <patternFill patternType="solid">
        <fgColor rgb="FFD9E2F3"/>
        <bgColor rgb="FFCC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left" vertical="center" textRotation="0" wrapText="true" indent="0" shrinkToFit="false"/>
      <protection locked="true" hidden="false"/>
    </xf>
    <xf numFmtId="164" fontId="6" fillId="2" borderId="0" xfId="0" applyFont="true" applyBorder="false" applyAlignment="true" applyProtection="false">
      <alignment horizontal="right" vertical="center"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right"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right" vertical="bottom" textRotation="0" wrapText="false" indent="0" shrinkToFit="false"/>
      <protection locked="true" hidden="false"/>
    </xf>
    <xf numFmtId="165" fontId="8" fillId="0" borderId="0" xfId="0" applyFont="true" applyBorder="false" applyAlignment="true" applyProtection="false">
      <alignment horizontal="right" vertical="bottom" textRotation="0" wrapText="false" indent="0" shrinkToFit="false"/>
      <protection locked="true" hidden="false"/>
    </xf>
    <xf numFmtId="166" fontId="8" fillId="0" borderId="0" xfId="0" applyFont="true" applyBorder="false" applyAlignment="true" applyProtection="false">
      <alignment horizontal="right"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69" fontId="9" fillId="0" borderId="0" xfId="0" applyFont="true" applyBorder="false" applyAlignment="false" applyProtection="false">
      <alignment horizontal="general" vertical="bottom" textRotation="0" wrapText="fals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9" fontId="12" fillId="3" borderId="0" xfId="0" applyFont="true" applyBorder="false" applyAlignment="false" applyProtection="false">
      <alignment horizontal="general" vertical="bottom" textRotation="0" wrapText="false" indent="0" shrinkToFit="false"/>
      <protection locked="true" hidden="false"/>
    </xf>
    <xf numFmtId="166" fontId="12" fillId="3" borderId="0" xfId="0" applyFont="true" applyBorder="false" applyAlignment="false" applyProtection="false">
      <alignment horizontal="general" vertical="bottom" textRotation="0" wrapText="false" indent="0" shrinkToFit="false"/>
      <protection locked="true" hidden="false"/>
    </xf>
    <xf numFmtId="170" fontId="12" fillId="3"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9" fontId="9" fillId="0" borderId="0" xfId="0" applyFont="true" applyBorder="false" applyAlignment="true" applyProtection="false">
      <alignment horizontal="right" vertical="bottom" textRotation="0" wrapText="false" indent="0" shrinkToFit="false"/>
      <protection locked="true" hidden="false"/>
    </xf>
    <xf numFmtId="169" fontId="8" fillId="0" borderId="0" xfId="0" applyFont="true" applyBorder="false" applyAlignment="true" applyProtection="false">
      <alignment horizontal="right"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true" applyProtection="false">
      <alignment horizontal="right" vertical="bottom" textRotation="0" wrapText="false" indent="0" shrinkToFit="false"/>
      <protection locked="true" hidden="false"/>
    </xf>
    <xf numFmtId="166" fontId="0" fillId="0" borderId="0" xfId="0" applyFont="false" applyBorder="false" applyAlignment="true" applyProtection="false">
      <alignment horizontal="right" vertical="bottom" textRotation="0" wrapText="false" indent="0" shrinkToFit="false"/>
      <protection locked="true" hidden="false"/>
    </xf>
    <xf numFmtId="166" fontId="9" fillId="0" borderId="0" xfId="0" applyFont="true" applyBorder="false" applyAlignment="true" applyProtection="false">
      <alignment horizontal="right" vertical="bottom" textRotation="0" wrapText="false" indent="0" shrinkToFit="false"/>
      <protection locked="true" hidden="false"/>
    </xf>
    <xf numFmtId="168" fontId="9" fillId="0" borderId="0" xfId="0" applyFont="true" applyBorder="false" applyAlignment="true" applyProtection="false">
      <alignment horizontal="right" vertical="bottom" textRotation="0" wrapText="false" indent="0" shrinkToFit="false"/>
      <protection locked="true" hidden="false"/>
    </xf>
    <xf numFmtId="168" fontId="8" fillId="0" borderId="0" xfId="0" applyFont="true" applyBorder="false" applyAlignment="true" applyProtection="false">
      <alignment horizontal="right" vertical="bottom" textRotation="0" wrapText="false" indent="0" shrinkToFit="false"/>
      <protection locked="true" hidden="false"/>
    </xf>
    <xf numFmtId="165" fontId="9" fillId="0" borderId="0" xfId="0" applyFont="true" applyBorder="false" applyAlignment="true" applyProtection="false">
      <alignment horizontal="right" vertical="bottom" textRotation="0" wrapText="false" indent="0" shrinkToFit="false"/>
      <protection locked="true" hidden="false"/>
    </xf>
    <xf numFmtId="165" fontId="0" fillId="0" borderId="0" xfId="0" applyFont="false" applyBorder="false" applyAlignment="true" applyProtection="false">
      <alignment horizontal="right"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true" applyProtection="false">
      <alignment horizontal="right" vertical="bottom" textRotation="0" wrapText="false" indent="0" shrinkToFit="false"/>
      <protection locked="true" hidden="false"/>
    </xf>
    <xf numFmtId="167" fontId="0" fillId="0" borderId="0" xfId="0" applyFont="false" applyBorder="false" applyAlignment="true" applyProtection="false">
      <alignment horizontal="right" vertical="bottom" textRotation="0" wrapText="false" indent="0" shrinkToFit="false"/>
      <protection locked="true" hidden="false"/>
    </xf>
    <xf numFmtId="168" fontId="0" fillId="0" borderId="0" xfId="0" applyFont="false" applyBorder="false" applyAlignment="true" applyProtection="false">
      <alignment horizontal="right" vertical="bottom" textRotation="0" wrapText="false" indent="0" shrinkToFit="false"/>
      <protection locked="true" hidden="false"/>
    </xf>
    <xf numFmtId="172" fontId="0" fillId="0" borderId="0" xfId="0" applyFont="false" applyBorder="false" applyAlignment="true" applyProtection="false">
      <alignment horizontal="right" vertical="bottom" textRotation="0" wrapText="false" indent="0" shrinkToFit="false"/>
      <protection locked="true" hidden="false"/>
    </xf>
    <xf numFmtId="172" fontId="8" fillId="0" borderId="0" xfId="0" applyFont="true" applyBorder="false" applyAlignment="true" applyProtection="false">
      <alignment horizontal="right"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73" fontId="0" fillId="0" borderId="0" xfId="0" applyFont="false" applyBorder="false" applyAlignment="false" applyProtection="false">
      <alignment horizontal="general" vertical="bottom" textRotation="0" wrapText="false" indent="0" shrinkToFit="false"/>
      <protection locked="true" hidden="false"/>
    </xf>
    <xf numFmtId="170" fontId="8" fillId="0" borderId="0" xfId="0" applyFont="true" applyBorder="false" applyAlignment="false" applyProtection="false">
      <alignment horizontal="general" vertical="bottom" textRotation="0" wrapText="false" indent="0" shrinkToFit="false"/>
      <protection locked="true" hidden="false"/>
    </xf>
    <xf numFmtId="173" fontId="12" fillId="3"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64" fontId="12" fillId="4" borderId="0" xfId="0" applyFont="true" applyBorder="fals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74" fontId="0" fillId="0" borderId="0" xfId="0" applyFont="false" applyBorder="false" applyAlignment="false" applyProtection="false">
      <alignment horizontal="general" vertical="bottom" textRotation="0" wrapText="false" indent="0" shrinkToFit="false"/>
      <protection locked="true" hidden="false"/>
    </xf>
    <xf numFmtId="170" fontId="14" fillId="2" borderId="0" xfId="0" applyFont="true" applyBorder="false" applyAlignment="true" applyProtection="false">
      <alignment horizontal="right" vertical="bottom" textRotation="0" wrapText="false" indent="0" shrinkToFit="false"/>
      <protection locked="true" hidden="false"/>
    </xf>
    <xf numFmtId="175" fontId="0" fillId="0" borderId="0" xfId="0" applyFont="fals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75" fontId="0" fillId="4" borderId="0" xfId="0" applyFont="false" applyBorder="false" applyAlignment="false" applyProtection="false">
      <alignment horizontal="general" vertical="bottom" textRotation="0" wrapText="false" indent="0" shrinkToFit="false"/>
      <protection locked="true" hidden="false"/>
    </xf>
    <xf numFmtId="172" fontId="8" fillId="0" borderId="0" xfId="0" applyFont="true" applyBorder="false" applyAlignment="false" applyProtection="false">
      <alignment horizontal="general" vertical="bottom" textRotation="0" wrapText="false" indent="0" shrinkToFit="false"/>
      <protection locked="true" hidden="false"/>
    </xf>
    <xf numFmtId="172" fontId="9"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8"/>
    <col collapsed="false" customWidth="true" hidden="false" outlineLevel="0" max="2" min="2" style="0" width="26"/>
    <col collapsed="false" customWidth="true" hidden="false" outlineLevel="0" max="3" min="3" style="0" width="80"/>
  </cols>
  <sheetData>
    <row r="1" customFormat="false" ht="1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4" t="s">
        <v>3</v>
      </c>
      <c r="C4" s="4" t="s">
        <v>4</v>
      </c>
    </row>
    <row r="5" customFormat="false" ht="15" hidden="false" customHeight="false" outlineLevel="0" collapsed="false">
      <c r="A5" s="5" t="s">
        <v>5</v>
      </c>
      <c r="B5" s="6" t="str">
        <f aca="false">Valuation!$B$12</f>
        <v>NO CALL</v>
      </c>
      <c r="C5" s="7" t="s">
        <v>6</v>
      </c>
    </row>
    <row r="6" customFormat="false" ht="15" hidden="false" customHeight="false" outlineLevel="0" collapsed="false">
      <c r="A6" s="5" t="s">
        <v>7</v>
      </c>
      <c r="B6" s="8" t="s">
        <v>8</v>
      </c>
      <c r="C6" s="7" t="s">
        <v>9</v>
      </c>
    </row>
    <row r="7" customFormat="false" ht="15" hidden="false" customHeight="false" outlineLevel="0" collapsed="false">
      <c r="A7" s="5" t="s">
        <v>10</v>
      </c>
      <c r="B7" s="9" t="n">
        <f aca="false">Assumptions!$B$7</f>
        <v>1091.67</v>
      </c>
      <c r="C7" s="7" t="s">
        <v>11</v>
      </c>
    </row>
    <row r="8" customFormat="false" ht="15" hidden="false" customHeight="false" outlineLevel="0" collapsed="false">
      <c r="A8" s="5" t="s">
        <v>12</v>
      </c>
      <c r="B8" s="9" t="n">
        <f aca="false">Valuation!$B$7</f>
        <v>989.692625218404</v>
      </c>
      <c r="C8" s="7" t="s">
        <v>13</v>
      </c>
    </row>
    <row r="9" customFormat="false" ht="15" hidden="false" customHeight="false" outlineLevel="0" collapsed="false">
      <c r="A9" s="5" t="s">
        <v>14</v>
      </c>
      <c r="B9" s="10" t="n">
        <f aca="false">Valuation!$B$9</f>
        <v>-0.0934141038790074</v>
      </c>
      <c r="C9" s="7"/>
    </row>
    <row r="10" customFormat="false" ht="15" hidden="false" customHeight="false" outlineLevel="0" collapsed="false">
      <c r="A10" s="5" t="s">
        <v>15</v>
      </c>
      <c r="B10" s="9" t="n">
        <f aca="false">Valuation!$B$10</f>
        <v>964.948637885848</v>
      </c>
      <c r="C10" s="7" t="s">
        <v>16</v>
      </c>
    </row>
    <row r="11" customFormat="false" ht="15" hidden="false" customHeight="false" outlineLevel="0" collapsed="false">
      <c r="A11" s="5" t="s">
        <v>17</v>
      </c>
      <c r="B11" s="6" t="str">
        <f aca="false">TEXT(Financials!E15,"0.00")&amp;" / "&amp;TEXT(Financials!F15,"0.00")</f>
        <v>21.14 / 28.28</v>
      </c>
      <c r="C11" s="7" t="s">
        <v>18</v>
      </c>
    </row>
    <row r="12" customFormat="false" ht="15" hidden="false" customHeight="false" outlineLevel="0" collapsed="false">
      <c r="A12" s="5" t="s">
        <v>19</v>
      </c>
      <c r="B12" s="8" t="s">
        <v>20</v>
      </c>
      <c r="C12" s="7"/>
    </row>
    <row r="13" customFormat="false" ht="23.85" hidden="false" customHeight="false" outlineLevel="0" collapsed="false">
      <c r="A13" s="5" t="s">
        <v>21</v>
      </c>
      <c r="B13" s="8" t="s">
        <v>22</v>
      </c>
      <c r="C13" s="7" t="s">
        <v>23</v>
      </c>
    </row>
    <row r="14" customFormat="false" ht="35.05" hidden="false" customHeight="false" outlineLevel="0" collapsed="false">
      <c r="A14" s="5" t="s">
        <v>24</v>
      </c>
      <c r="B14" s="8" t="s">
        <v>22</v>
      </c>
      <c r="C14" s="7" t="s">
        <v>25</v>
      </c>
    </row>
    <row r="17" customFormat="false" ht="15" hidden="false" customHeight="false" outlineLevel="0" collapsed="false">
      <c r="A17" s="11" t="s">
        <v>26</v>
      </c>
    </row>
    <row r="18" customFormat="false" ht="15" hidden="false" customHeight="false" outlineLevel="0" collapsed="false">
      <c r="A18" s="0" t="s">
        <v>27</v>
      </c>
      <c r="B18" s="0" t="s">
        <v>28</v>
      </c>
    </row>
    <row r="19" customFormat="false" ht="15" hidden="false" customHeight="false" outlineLevel="0" collapsed="false">
      <c r="A19" s="0" t="s">
        <v>29</v>
      </c>
      <c r="B19" s="0" t="s">
        <v>30</v>
      </c>
    </row>
    <row r="20" customFormat="false" ht="15" hidden="false" customHeight="false" outlineLevel="0" collapsed="false">
      <c r="A20" s="0" t="s">
        <v>31</v>
      </c>
      <c r="B20" s="0" t="s">
        <v>32</v>
      </c>
    </row>
    <row r="21" customFormat="false" ht="15" hidden="false" customHeight="false" outlineLevel="0" collapsed="false">
      <c r="A21" s="0" t="s">
        <v>33</v>
      </c>
      <c r="B21" s="0" t="s">
        <v>34</v>
      </c>
    </row>
    <row r="22" customFormat="false" ht="15" hidden="false" customHeight="false" outlineLevel="0" collapsed="false">
      <c r="A22" s="0" t="s">
        <v>35</v>
      </c>
      <c r="B22" s="0" t="s">
        <v>36</v>
      </c>
    </row>
    <row r="23" customFormat="false" ht="15" hidden="false" customHeight="false" outlineLevel="0" collapsed="false">
      <c r="A23" s="0" t="s">
        <v>37</v>
      </c>
      <c r="B23" s="0" t="s">
        <v>38</v>
      </c>
    </row>
    <row r="24" customFormat="false" ht="15" hidden="false" customHeight="false" outlineLevel="0" collapsed="false">
      <c r="A24" s="0" t="s">
        <v>39</v>
      </c>
      <c r="B24" s="0" t="s">
        <v>40</v>
      </c>
    </row>
    <row r="25" customFormat="false" ht="15" hidden="false" customHeight="false" outlineLevel="0" collapsed="false">
      <c r="A25" s="0" t="s">
        <v>41</v>
      </c>
      <c r="B25" s="0" t="s">
        <v>42</v>
      </c>
    </row>
    <row r="26" customFormat="false" ht="15" hidden="false" customHeight="false" outlineLevel="0" collapsed="false">
      <c r="A26" s="0" t="s">
        <v>43</v>
      </c>
      <c r="B26" s="0" t="s">
        <v>44</v>
      </c>
    </row>
    <row r="28" customFormat="false" ht="15" hidden="false" customHeight="false" outlineLevel="0" collapsed="false">
      <c r="A28" s="12" t="s">
        <v>45</v>
      </c>
    </row>
    <row r="29" customFormat="false" ht="15" hidden="false" customHeight="false" outlineLevel="0" collapsed="false">
      <c r="A29" s="12" t="s">
        <v>46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58"/>
    <col collapsed="false" customWidth="true" hidden="false" outlineLevel="0" max="2" min="2" style="0" width="14"/>
    <col collapsed="false" customWidth="true" hidden="false" outlineLevel="0" max="3" min="3" style="0" width="10"/>
    <col collapsed="false" customWidth="true" hidden="false" outlineLevel="0" max="4" min="4" style="0" width="92"/>
  </cols>
  <sheetData>
    <row r="1" customFormat="false" ht="15" hidden="false" customHeight="false" outlineLevel="0" collapsed="false">
      <c r="A1" s="1" t="s">
        <v>47</v>
      </c>
    </row>
    <row r="2" customFormat="false" ht="15" hidden="false" customHeight="false" outlineLevel="0" collapsed="false">
      <c r="A2" s="2" t="s">
        <v>1</v>
      </c>
    </row>
    <row r="3" customFormat="false" ht="15" hidden="false" customHeight="false" outlineLevel="0" collapsed="false">
      <c r="A3" s="12" t="s">
        <v>48</v>
      </c>
    </row>
    <row r="5" customFormat="false" ht="15" hidden="false" customHeight="false" outlineLevel="0" collapsed="false">
      <c r="A5" s="3" t="s">
        <v>49</v>
      </c>
      <c r="B5" s="4" t="s">
        <v>3</v>
      </c>
      <c r="C5" s="4" t="s">
        <v>50</v>
      </c>
      <c r="D5" s="4" t="s">
        <v>51</v>
      </c>
    </row>
    <row r="6" customFormat="false" ht="15" hidden="false" customHeight="false" outlineLevel="0" collapsed="false">
      <c r="A6" s="11" t="s">
        <v>52</v>
      </c>
    </row>
    <row r="7" customFormat="false" ht="15" hidden="false" customHeight="false" outlineLevel="0" collapsed="false">
      <c r="A7" s="0" t="s">
        <v>53</v>
      </c>
      <c r="B7" s="13" t="n">
        <v>1091.67</v>
      </c>
      <c r="C7" s="0" t="s">
        <v>54</v>
      </c>
      <c r="D7" s="7" t="s">
        <v>55</v>
      </c>
    </row>
    <row r="8" customFormat="false" ht="15" hidden="false" customHeight="false" outlineLevel="0" collapsed="false">
      <c r="A8" s="0" t="s">
        <v>56</v>
      </c>
      <c r="B8" s="13" t="n">
        <v>1124.4</v>
      </c>
      <c r="C8" s="0" t="s">
        <v>54</v>
      </c>
      <c r="D8" s="7" t="s">
        <v>57</v>
      </c>
    </row>
    <row r="9" customFormat="false" ht="15" hidden="false" customHeight="false" outlineLevel="0" collapsed="false">
      <c r="A9" s="0" t="s">
        <v>58</v>
      </c>
      <c r="B9" s="13" t="n">
        <v>1091.67</v>
      </c>
      <c r="C9" s="0" t="s">
        <v>54</v>
      </c>
      <c r="D9" s="7" t="s">
        <v>57</v>
      </c>
    </row>
    <row r="10" customFormat="false" ht="15" hidden="false" customHeight="false" outlineLevel="0" collapsed="false">
      <c r="A10" s="0" t="s">
        <v>59</v>
      </c>
      <c r="B10" s="13" t="n">
        <v>147.81</v>
      </c>
      <c r="C10" s="0" t="s">
        <v>54</v>
      </c>
      <c r="D10" s="7" t="s">
        <v>57</v>
      </c>
    </row>
    <row r="11" customFormat="false" ht="15" hidden="false" customHeight="false" outlineLevel="0" collapsed="false">
      <c r="A11" s="0" t="s">
        <v>60</v>
      </c>
      <c r="B11" s="13" t="n">
        <v>149.61</v>
      </c>
      <c r="C11" s="0" t="s">
        <v>54</v>
      </c>
      <c r="D11" s="7" t="s">
        <v>57</v>
      </c>
    </row>
    <row r="12" customFormat="false" ht="15" hidden="false" customHeight="false" outlineLevel="0" collapsed="false">
      <c r="A12" s="0" t="s">
        <v>61</v>
      </c>
      <c r="B12" s="13" t="n">
        <v>368.59</v>
      </c>
      <c r="C12" s="0" t="s">
        <v>54</v>
      </c>
      <c r="D12" s="7" t="s">
        <v>57</v>
      </c>
    </row>
    <row r="13" customFormat="false" ht="15" hidden="false" customHeight="false" outlineLevel="0" collapsed="false">
      <c r="A13" s="0" t="s">
        <v>62</v>
      </c>
      <c r="B13" s="14" t="n">
        <v>0.0897</v>
      </c>
      <c r="C13" s="0" t="s">
        <v>63</v>
      </c>
      <c r="D13" s="7" t="s">
        <v>64</v>
      </c>
    </row>
    <row r="14" customFormat="false" ht="15" hidden="false" customHeight="false" outlineLevel="0" collapsed="false">
      <c r="A14" s="0" t="s">
        <v>65</v>
      </c>
      <c r="B14" s="14" t="n">
        <v>0.002876415</v>
      </c>
      <c r="C14" s="0" t="s">
        <v>63</v>
      </c>
      <c r="D14" s="7" t="s">
        <v>66</v>
      </c>
    </row>
    <row r="15" customFormat="false" ht="15" hidden="false" customHeight="false" outlineLevel="0" collapsed="false">
      <c r="A15" s="0" t="s">
        <v>67</v>
      </c>
      <c r="B15" s="13" t="n">
        <v>695.31</v>
      </c>
      <c r="C15" s="0" t="s">
        <v>54</v>
      </c>
      <c r="D15" s="7" t="s">
        <v>68</v>
      </c>
    </row>
    <row r="16" customFormat="false" ht="15" hidden="false" customHeight="false" outlineLevel="0" collapsed="false">
      <c r="A16" s="0" t="s">
        <v>69</v>
      </c>
      <c r="B16" s="15" t="n">
        <v>2.7384</v>
      </c>
      <c r="C16" s="0" t="s">
        <v>70</v>
      </c>
      <c r="D16" s="7" t="s">
        <v>71</v>
      </c>
    </row>
    <row r="17" customFormat="false" ht="15" hidden="false" customHeight="false" outlineLevel="0" collapsed="false">
      <c r="A17" s="0" t="s">
        <v>72</v>
      </c>
      <c r="B17" s="15" t="n">
        <v>0.0928</v>
      </c>
      <c r="C17" s="0" t="s">
        <v>70</v>
      </c>
      <c r="D17" s="7" t="s">
        <v>73</v>
      </c>
    </row>
    <row r="18" customFormat="false" ht="15" hidden="false" customHeight="false" outlineLevel="0" collapsed="false">
      <c r="A18" s="0" t="s">
        <v>74</v>
      </c>
      <c r="B18" s="13" t="n">
        <v>21.74</v>
      </c>
      <c r="C18" s="0" t="s">
        <v>54</v>
      </c>
      <c r="D18" s="7" t="s">
        <v>75</v>
      </c>
    </row>
    <row r="19" customFormat="false" ht="15" hidden="false" customHeight="false" outlineLevel="0" collapsed="false">
      <c r="A19" s="0" t="s">
        <v>76</v>
      </c>
      <c r="B19" s="13" t="n">
        <v>19.78</v>
      </c>
      <c r="C19" s="0" t="s">
        <v>54</v>
      </c>
      <c r="D19" s="7" t="s">
        <v>77</v>
      </c>
    </row>
    <row r="20" customFormat="false" ht="15" hidden="false" customHeight="false" outlineLevel="0" collapsed="false">
      <c r="A20" s="0" t="s">
        <v>78</v>
      </c>
      <c r="B20" s="13" t="n">
        <v>32.96</v>
      </c>
      <c r="C20" s="0" t="s">
        <v>54</v>
      </c>
      <c r="D20" s="7" t="s">
        <v>79</v>
      </c>
    </row>
    <row r="21" customFormat="false" ht="15" hidden="false" customHeight="false" outlineLevel="0" collapsed="false">
      <c r="A21" s="0" t="s">
        <v>80</v>
      </c>
      <c r="B21" s="13" t="n">
        <v>3.82</v>
      </c>
      <c r="C21" s="0" t="s">
        <v>54</v>
      </c>
      <c r="D21" s="7" t="s">
        <v>81</v>
      </c>
    </row>
    <row r="22" customFormat="false" ht="15" hidden="false" customHeight="false" outlineLevel="0" collapsed="false">
      <c r="A22" s="0" t="s">
        <v>82</v>
      </c>
      <c r="B22" s="16" t="n">
        <v>51.01</v>
      </c>
      <c r="C22" s="0" t="s">
        <v>83</v>
      </c>
      <c r="D22" s="7" t="s">
        <v>84</v>
      </c>
    </row>
    <row r="23" customFormat="false" ht="15" hidden="false" customHeight="false" outlineLevel="0" collapsed="false">
      <c r="A23" s="0" t="s">
        <v>85</v>
      </c>
      <c r="B23" s="13" t="n">
        <v>1157</v>
      </c>
      <c r="C23" s="0" t="s">
        <v>54</v>
      </c>
      <c r="D23" s="7" t="s">
        <v>86</v>
      </c>
    </row>
    <row r="24" customFormat="false" ht="15" hidden="false" customHeight="false" outlineLevel="0" collapsed="false">
      <c r="A24" s="11" t="s">
        <v>87</v>
      </c>
    </row>
    <row r="25" customFormat="false" ht="15" hidden="false" customHeight="false" outlineLevel="0" collapsed="false">
      <c r="A25" s="0" t="s">
        <v>88</v>
      </c>
      <c r="B25" s="15" t="n">
        <v>1.225</v>
      </c>
      <c r="C25" s="0" t="s">
        <v>70</v>
      </c>
      <c r="D25" s="7" t="s">
        <v>89</v>
      </c>
    </row>
    <row r="26" customFormat="false" ht="15" hidden="false" customHeight="false" outlineLevel="0" collapsed="false">
      <c r="A26" s="0" t="s">
        <v>90</v>
      </c>
      <c r="B26" s="15" t="n">
        <v>1.275</v>
      </c>
      <c r="C26" s="0" t="s">
        <v>70</v>
      </c>
      <c r="D26" s="7" t="s">
        <v>91</v>
      </c>
    </row>
    <row r="27" customFormat="false" ht="15" hidden="false" customHeight="false" outlineLevel="0" collapsed="false">
      <c r="A27" s="0" t="s">
        <v>92</v>
      </c>
      <c r="B27" s="17" t="n">
        <v>0.395</v>
      </c>
      <c r="C27" s="0" t="s">
        <v>93</v>
      </c>
      <c r="D27" s="7" t="s">
        <v>91</v>
      </c>
    </row>
    <row r="28" customFormat="false" ht="15" hidden="false" customHeight="false" outlineLevel="0" collapsed="false">
      <c r="A28" s="0" t="s">
        <v>94</v>
      </c>
      <c r="B28" s="17" t="n">
        <v>0.405</v>
      </c>
      <c r="C28" s="0" t="s">
        <v>93</v>
      </c>
      <c r="D28" s="7" t="s">
        <v>91</v>
      </c>
    </row>
    <row r="29" customFormat="false" ht="15" hidden="false" customHeight="false" outlineLevel="0" collapsed="false">
      <c r="A29" s="0" t="s">
        <v>95</v>
      </c>
      <c r="B29" s="13" t="n">
        <v>4.05</v>
      </c>
      <c r="C29" s="0" t="s">
        <v>54</v>
      </c>
      <c r="D29" s="7" t="s">
        <v>91</v>
      </c>
    </row>
    <row r="30" customFormat="false" ht="15" hidden="false" customHeight="false" outlineLevel="0" collapsed="false">
      <c r="A30" s="0" t="s">
        <v>96</v>
      </c>
      <c r="B30" s="13" t="n">
        <v>4.35</v>
      </c>
      <c r="C30" s="0" t="s">
        <v>54</v>
      </c>
      <c r="D30" s="7" t="s">
        <v>91</v>
      </c>
    </row>
    <row r="31" customFormat="false" ht="15" hidden="false" customHeight="false" outlineLevel="0" collapsed="false">
      <c r="A31" s="0" t="s">
        <v>97</v>
      </c>
      <c r="B31" s="14" t="n">
        <v>0.102</v>
      </c>
      <c r="C31" s="0" t="s">
        <v>63</v>
      </c>
      <c r="D31" s="7" t="s">
        <v>98</v>
      </c>
    </row>
    <row r="32" customFormat="false" ht="15" hidden="false" customHeight="false" outlineLevel="0" collapsed="false">
      <c r="A32" s="0" t="s">
        <v>99</v>
      </c>
      <c r="B32" s="17" t="n">
        <v>0.165</v>
      </c>
      <c r="C32" s="0" t="s">
        <v>93</v>
      </c>
      <c r="D32" s="7" t="s">
        <v>100</v>
      </c>
    </row>
    <row r="33" customFormat="false" ht="15" hidden="false" customHeight="false" outlineLevel="0" collapsed="false">
      <c r="A33" s="0" t="s">
        <v>101</v>
      </c>
      <c r="B33" s="15" t="n">
        <v>0.1913</v>
      </c>
      <c r="C33" s="0" t="s">
        <v>70</v>
      </c>
      <c r="D33" s="7" t="s">
        <v>102</v>
      </c>
    </row>
    <row r="34" customFormat="false" ht="15" hidden="false" customHeight="false" outlineLevel="0" collapsed="false">
      <c r="A34" s="0" t="s">
        <v>103</v>
      </c>
      <c r="B34" s="15" t="n">
        <v>0.4513</v>
      </c>
      <c r="C34" s="0" t="s">
        <v>70</v>
      </c>
      <c r="D34" s="7" t="s">
        <v>104</v>
      </c>
    </row>
    <row r="35" customFormat="false" ht="15" hidden="false" customHeight="false" outlineLevel="0" collapsed="false">
      <c r="A35" s="0" t="s">
        <v>105</v>
      </c>
      <c r="B35" s="15" t="n">
        <v>0.7514</v>
      </c>
      <c r="C35" s="0" t="s">
        <v>70</v>
      </c>
      <c r="D35" s="7" t="s">
        <v>104</v>
      </c>
    </row>
    <row r="36" customFormat="false" ht="15" hidden="false" customHeight="false" outlineLevel="0" collapsed="false">
      <c r="A36" s="0" t="s">
        <v>106</v>
      </c>
      <c r="B36" s="15" t="n">
        <v>1.767</v>
      </c>
      <c r="C36" s="0" t="s">
        <v>70</v>
      </c>
      <c r="D36" s="7" t="s">
        <v>107</v>
      </c>
    </row>
    <row r="37" customFormat="false" ht="15" hidden="false" customHeight="false" outlineLevel="0" collapsed="false">
      <c r="A37" s="11" t="s">
        <v>108</v>
      </c>
    </row>
    <row r="38" customFormat="false" ht="15" hidden="false" customHeight="false" outlineLevel="0" collapsed="false">
      <c r="A38" s="0" t="s">
        <v>109</v>
      </c>
      <c r="B38" s="18" t="n">
        <v>1.26</v>
      </c>
      <c r="C38" s="0" t="s">
        <v>70</v>
      </c>
      <c r="D38" s="7" t="s">
        <v>110</v>
      </c>
    </row>
    <row r="39" customFormat="false" ht="15" hidden="false" customHeight="false" outlineLevel="0" collapsed="false">
      <c r="A39" s="0" t="s">
        <v>111</v>
      </c>
      <c r="B39" s="18" t="n">
        <v>1.44</v>
      </c>
      <c r="C39" s="0" t="s">
        <v>70</v>
      </c>
      <c r="D39" s="7" t="s">
        <v>112</v>
      </c>
    </row>
    <row r="40" customFormat="false" ht="15" hidden="false" customHeight="false" outlineLevel="0" collapsed="false">
      <c r="A40" s="0" t="s">
        <v>113</v>
      </c>
      <c r="B40" s="18" t="n">
        <v>1.62</v>
      </c>
      <c r="C40" s="0" t="s">
        <v>70</v>
      </c>
      <c r="D40" s="7" t="s">
        <v>112</v>
      </c>
    </row>
    <row r="41" customFormat="false" ht="15" hidden="false" customHeight="false" outlineLevel="0" collapsed="false">
      <c r="A41" s="0" t="s">
        <v>114</v>
      </c>
      <c r="B41" s="18" t="n">
        <v>1.8</v>
      </c>
      <c r="C41" s="0" t="s">
        <v>70</v>
      </c>
      <c r="D41" s="7" t="s">
        <v>112</v>
      </c>
    </row>
    <row r="42" customFormat="false" ht="15" hidden="false" customHeight="false" outlineLevel="0" collapsed="false">
      <c r="A42" s="0" t="s">
        <v>115</v>
      </c>
      <c r="B42" s="19" t="n">
        <v>0.4</v>
      </c>
      <c r="C42" s="0" t="s">
        <v>93</v>
      </c>
      <c r="D42" s="7" t="s">
        <v>116</v>
      </c>
    </row>
    <row r="43" customFormat="false" ht="15" hidden="false" customHeight="false" outlineLevel="0" collapsed="false">
      <c r="A43" s="0" t="s">
        <v>117</v>
      </c>
      <c r="B43" s="19" t="n">
        <v>0.41</v>
      </c>
      <c r="C43" s="0" t="s">
        <v>93</v>
      </c>
      <c r="D43" s="7" t="s">
        <v>112</v>
      </c>
    </row>
    <row r="44" customFormat="false" ht="15" hidden="false" customHeight="false" outlineLevel="0" collapsed="false">
      <c r="A44" s="0" t="s">
        <v>118</v>
      </c>
      <c r="B44" s="19" t="n">
        <v>0.415</v>
      </c>
      <c r="C44" s="0" t="s">
        <v>93</v>
      </c>
      <c r="D44" s="7" t="s">
        <v>112</v>
      </c>
    </row>
    <row r="45" customFormat="false" ht="15" hidden="false" customHeight="false" outlineLevel="0" collapsed="false">
      <c r="A45" s="0" t="s">
        <v>119</v>
      </c>
      <c r="B45" s="19" t="n">
        <v>0.42</v>
      </c>
      <c r="C45" s="0" t="s">
        <v>93</v>
      </c>
      <c r="D45" s="7" t="s">
        <v>112</v>
      </c>
    </row>
    <row r="46" customFormat="false" ht="15" hidden="false" customHeight="false" outlineLevel="0" collapsed="false">
      <c r="A46" s="0" t="s">
        <v>120</v>
      </c>
      <c r="B46" s="18" t="n">
        <v>0.015</v>
      </c>
      <c r="C46" s="0" t="s">
        <v>70</v>
      </c>
      <c r="D46" s="7" t="s">
        <v>121</v>
      </c>
    </row>
    <row r="47" customFormat="false" ht="15" hidden="false" customHeight="false" outlineLevel="0" collapsed="false">
      <c r="A47" s="0" t="s">
        <v>122</v>
      </c>
      <c r="B47" s="18" t="n">
        <v>0.06</v>
      </c>
      <c r="C47" s="0" t="s">
        <v>70</v>
      </c>
      <c r="D47" s="7" t="s">
        <v>112</v>
      </c>
    </row>
    <row r="48" customFormat="false" ht="15" hidden="false" customHeight="false" outlineLevel="0" collapsed="false">
      <c r="A48" s="0" t="s">
        <v>123</v>
      </c>
      <c r="B48" s="19" t="n">
        <v>0.01</v>
      </c>
      <c r="C48" s="0" t="s">
        <v>93</v>
      </c>
      <c r="D48" s="7" t="s">
        <v>124</v>
      </c>
    </row>
    <row r="49" customFormat="false" ht="15" hidden="false" customHeight="false" outlineLevel="0" collapsed="false">
      <c r="A49" s="0" t="s">
        <v>125</v>
      </c>
      <c r="B49" s="20" t="n">
        <v>35</v>
      </c>
      <c r="C49" s="0" t="s">
        <v>83</v>
      </c>
      <c r="D49" s="7" t="s">
        <v>126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62"/>
    <col collapsed="false" customWidth="true" hidden="false" outlineLevel="0" max="3" min="2" style="0" width="14"/>
    <col collapsed="false" customWidth="true" hidden="false" outlineLevel="0" max="4" min="4" style="0" width="16"/>
    <col collapsed="false" customWidth="true" hidden="false" outlineLevel="0" max="5" min="5" style="0" width="60"/>
  </cols>
  <sheetData>
    <row r="1" customFormat="false" ht="15" hidden="false" customHeight="false" outlineLevel="0" collapsed="false">
      <c r="A1" s="1" t="s">
        <v>127</v>
      </c>
    </row>
    <row r="2" customFormat="false" ht="15" hidden="false" customHeight="false" outlineLevel="0" collapsed="false">
      <c r="A2" s="2" t="s">
        <v>1</v>
      </c>
    </row>
    <row r="4" customFormat="false" ht="23.85" hidden="false" customHeight="false" outlineLevel="0" collapsed="false">
      <c r="A4" s="3" t="s">
        <v>128</v>
      </c>
      <c r="B4" s="4" t="s">
        <v>129</v>
      </c>
      <c r="C4" s="4" t="s">
        <v>130</v>
      </c>
      <c r="D4" s="4" t="s">
        <v>131</v>
      </c>
      <c r="E4" s="4" t="s">
        <v>132</v>
      </c>
    </row>
    <row r="5" customFormat="false" ht="15" hidden="false" customHeight="false" outlineLevel="0" collapsed="false">
      <c r="A5" s="0" t="s">
        <v>133</v>
      </c>
      <c r="B5" s="14" t="n">
        <v>1.265</v>
      </c>
      <c r="C5" s="21" t="n">
        <v>187.77</v>
      </c>
      <c r="D5" s="22" t="n">
        <f aca="false">MAX(0,B5/C5*(1-C5/Assumptions!$B$7))</f>
        <v>0.00557819034872854</v>
      </c>
      <c r="E5" s="0" t="s">
        <v>134</v>
      </c>
    </row>
    <row r="6" customFormat="false" ht="15" hidden="false" customHeight="false" outlineLevel="0" collapsed="false">
      <c r="A6" s="0" t="s">
        <v>135</v>
      </c>
      <c r="B6" s="14" t="n">
        <v>0.0549</v>
      </c>
      <c r="C6" s="21" t="n">
        <v>69.54</v>
      </c>
      <c r="D6" s="22" t="n">
        <f aca="false">MAX(0,B6/C6*(1-C6/Assumptions!$B$7))</f>
        <v>0.000739183761431665</v>
      </c>
      <c r="E6" s="0" t="s">
        <v>134</v>
      </c>
    </row>
    <row r="7" customFormat="false" ht="15" hidden="false" customHeight="false" outlineLevel="0" collapsed="false">
      <c r="A7" s="0" t="s">
        <v>136</v>
      </c>
      <c r="B7" s="14" t="n">
        <v>0.1796</v>
      </c>
      <c r="C7" s="21" t="n">
        <v>131.03</v>
      </c>
      <c r="D7" s="22" t="n">
        <f aca="false">MAX(0,B7/C7*(1-C7/Assumptions!$B$7))</f>
        <v>0.00120615988895661</v>
      </c>
      <c r="E7" s="0" t="s">
        <v>134</v>
      </c>
    </row>
    <row r="8" customFormat="false" ht="15" hidden="false" customHeight="false" outlineLevel="0" collapsed="false">
      <c r="A8" s="0" t="s">
        <v>137</v>
      </c>
      <c r="B8" s="14" t="n">
        <v>0.0548</v>
      </c>
      <c r="C8" s="21" t="n">
        <v>99.29</v>
      </c>
      <c r="D8" s="22" t="n">
        <f aca="false">MAX(0,B8/C8*(1-C8/Assumptions!$B$7))</f>
        <v>0.000501720302212616</v>
      </c>
      <c r="E8" s="0" t="s">
        <v>134</v>
      </c>
    </row>
    <row r="9" customFormat="false" ht="15" hidden="false" customHeight="false" outlineLevel="0" collapsed="false">
      <c r="A9" s="5" t="s">
        <v>138</v>
      </c>
      <c r="B9" s="22" t="n">
        <f aca="false">SUM(B5:B8)</f>
        <v>1.5543</v>
      </c>
      <c r="D9" s="22" t="n">
        <f aca="false">SUM(D5:D8)</f>
        <v>0.00802525430132942</v>
      </c>
    </row>
    <row r="11" customFormat="false" ht="15" hidden="false" customHeight="false" outlineLevel="0" collapsed="false">
      <c r="A11" s="0" t="s">
        <v>139</v>
      </c>
      <c r="B11" s="21" t="n">
        <v>268.24</v>
      </c>
      <c r="E11" s="7" t="s">
        <v>140</v>
      </c>
    </row>
    <row r="12" customFormat="false" ht="15" hidden="false" customHeight="false" outlineLevel="0" collapsed="false">
      <c r="A12" s="0" t="s">
        <v>141</v>
      </c>
      <c r="B12" s="22" t="n">
        <f aca="false">B5/C5*(1-C5/B11)</f>
        <v>0.00202103940005287</v>
      </c>
      <c r="E12" s="7" t="s">
        <v>142</v>
      </c>
    </row>
    <row r="13" customFormat="false" ht="15" hidden="false" customHeight="false" outlineLevel="0" collapsed="false">
      <c r="A13" s="0" t="s">
        <v>143</v>
      </c>
      <c r="B13" s="22" t="n">
        <f aca="false">Assumptions!$B$13</f>
        <v>0.0897</v>
      </c>
      <c r="E13" s="7"/>
    </row>
    <row r="14" customFormat="false" ht="15" hidden="false" customHeight="false" outlineLevel="0" collapsed="false">
      <c r="A14" s="0" t="s">
        <v>144</v>
      </c>
      <c r="B14" s="22" t="n">
        <f aca="false">Assumptions!$B$14</f>
        <v>0.002876415</v>
      </c>
      <c r="E14" s="7"/>
    </row>
    <row r="15" customFormat="false" ht="15" hidden="false" customHeight="false" outlineLevel="0" collapsed="false">
      <c r="A15" s="0" t="s">
        <v>145</v>
      </c>
      <c r="B15" s="14" t="n">
        <v>0.0031</v>
      </c>
      <c r="E15" s="7" t="s">
        <v>146</v>
      </c>
    </row>
    <row r="16" customFormat="false" ht="15" hidden="false" customHeight="false" outlineLevel="0" collapsed="false">
      <c r="A16" s="0" t="s">
        <v>147</v>
      </c>
      <c r="B16" s="22" t="n">
        <f aca="false">B13+B14+D9-B12+B15</f>
        <v>0.101680629901277</v>
      </c>
      <c r="E16" s="7" t="s">
        <v>148</v>
      </c>
    </row>
    <row r="17" customFormat="false" ht="15" hidden="false" customHeight="false" outlineLevel="0" collapsed="false">
      <c r="A17" s="0" t="s">
        <v>149</v>
      </c>
      <c r="B17" s="22" t="n">
        <f aca="false">Assumptions!$B$31</f>
        <v>0.102</v>
      </c>
      <c r="E17" s="7" t="s">
        <v>150</v>
      </c>
    </row>
    <row r="19" customFormat="false" ht="15" hidden="false" customHeight="false" outlineLevel="0" collapsed="false">
      <c r="A19" s="0" t="s">
        <v>151</v>
      </c>
      <c r="B19" s="23" t="n">
        <f aca="false">B9+Assumptions!$B$17</f>
        <v>1.6471</v>
      </c>
      <c r="E19" s="7"/>
    </row>
    <row r="20" customFormat="false" ht="15" hidden="false" customHeight="false" outlineLevel="0" collapsed="false">
      <c r="A20" s="0" t="s">
        <v>152</v>
      </c>
      <c r="B20" s="23" t="n">
        <f aca="false">Assumptions!$B$16-B19</f>
        <v>1.0913</v>
      </c>
      <c r="E20" s="7" t="s">
        <v>153</v>
      </c>
    </row>
    <row r="21" customFormat="false" ht="15" hidden="false" customHeight="false" outlineLevel="0" collapsed="false">
      <c r="A21" s="0" t="s">
        <v>154</v>
      </c>
      <c r="B21" s="15" t="n">
        <v>0.7578</v>
      </c>
      <c r="E21" s="7" t="s">
        <v>155</v>
      </c>
    </row>
    <row r="22" customFormat="false" ht="15" hidden="false" customHeight="false" outlineLevel="0" collapsed="false">
      <c r="A22" s="0" t="s">
        <v>156</v>
      </c>
      <c r="B22" s="23" t="n">
        <f aca="false">B14*Assumptions!$B$7</f>
        <v>3.14009596305</v>
      </c>
      <c r="E22" s="7"/>
    </row>
    <row r="23" customFormat="false" ht="15" hidden="false" customHeight="false" outlineLevel="0" collapsed="false">
      <c r="A23" s="0" t="s">
        <v>157</v>
      </c>
      <c r="B23" s="24" t="n">
        <f aca="false">Assumptions!$B$7/Assumptions!$B$15-1</f>
        <v>0.570047892307029</v>
      </c>
      <c r="E23" s="7"/>
    </row>
    <row r="24" customFormat="false" ht="15" hidden="false" customHeight="false" outlineLevel="0" collapsed="false">
      <c r="A24" s="0" t="s">
        <v>158</v>
      </c>
      <c r="B24" s="24" t="n">
        <f aca="false">B14/(B13+B14)</f>
        <v>0.0310707106124168</v>
      </c>
      <c r="E24" s="7"/>
    </row>
    <row r="25" customFormat="false" ht="15" hidden="false" customHeight="false" outlineLevel="0" collapsed="false">
      <c r="A25" s="0" t="s">
        <v>159</v>
      </c>
      <c r="B25" s="24" t="n">
        <f aca="false">Assumptions!$B$33/Financials!D9</f>
        <v>0.213266443701226</v>
      </c>
      <c r="E25" s="7"/>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50"/>
    <col collapsed="false" customWidth="true" hidden="false" outlineLevel="0" max="13" min="2" style="0" width="10"/>
  </cols>
  <sheetData>
    <row r="1" customFormat="false" ht="15" hidden="false" customHeight="false" outlineLevel="0" collapsed="false">
      <c r="A1" s="1" t="s">
        <v>160</v>
      </c>
    </row>
    <row r="2" customFormat="false" ht="15" hidden="false" customHeight="false" outlineLevel="0" collapsed="false">
      <c r="A2" s="2" t="s">
        <v>1</v>
      </c>
    </row>
    <row r="4" customFormat="false" ht="15" hidden="false" customHeight="false" outlineLevel="0" collapsed="false">
      <c r="A4" s="3" t="s">
        <v>161</v>
      </c>
      <c r="B4" s="4" t="s">
        <v>162</v>
      </c>
      <c r="C4" s="4" t="s">
        <v>163</v>
      </c>
      <c r="D4" s="4" t="s">
        <v>164</v>
      </c>
      <c r="E4" s="4" t="s">
        <v>165</v>
      </c>
      <c r="F4" s="4" t="s">
        <v>166</v>
      </c>
      <c r="G4" s="4" t="s">
        <v>167</v>
      </c>
      <c r="H4" s="4" t="s">
        <v>168</v>
      </c>
      <c r="I4" s="4" t="s">
        <v>169</v>
      </c>
      <c r="J4" s="4" t="s">
        <v>170</v>
      </c>
      <c r="K4" s="4" t="s">
        <v>171</v>
      </c>
      <c r="L4" s="4" t="s">
        <v>172</v>
      </c>
      <c r="M4" s="4" t="s">
        <v>173</v>
      </c>
    </row>
    <row r="5" customFormat="false" ht="15" hidden="false" customHeight="false" outlineLevel="0" collapsed="false">
      <c r="A5" s="5" t="s">
        <v>174</v>
      </c>
      <c r="B5" s="25" t="n">
        <v>0.3369</v>
      </c>
      <c r="C5" s="25" t="n">
        <v>0.4022</v>
      </c>
      <c r="D5" s="25" t="n">
        <v>0.4252</v>
      </c>
      <c r="E5" s="25" t="n">
        <v>0.4807</v>
      </c>
      <c r="F5" s="25" t="n">
        <v>0.5338</v>
      </c>
      <c r="G5" s="25" t="n">
        <v>0.6655</v>
      </c>
      <c r="H5" s="25" t="n">
        <v>0.8084</v>
      </c>
      <c r="I5" s="25" t="n">
        <v>1.0063</v>
      </c>
      <c r="J5" s="26" t="n">
        <f aca="false">Assumptions!$B$38</f>
        <v>1.26</v>
      </c>
      <c r="K5" s="26" t="n">
        <f aca="false">Assumptions!$B$39</f>
        <v>1.44</v>
      </c>
      <c r="L5" s="26" t="n">
        <f aca="false">Assumptions!$B$40</f>
        <v>1.62</v>
      </c>
      <c r="M5" s="26" t="n">
        <f aca="false">Assumptions!$B$41</f>
        <v>1.8</v>
      </c>
    </row>
    <row r="6" customFormat="false" ht="15" hidden="false" customHeight="false" outlineLevel="0" collapsed="false">
      <c r="A6" s="27" t="s">
        <v>175</v>
      </c>
      <c r="B6" s="25" t="n">
        <v>0.2314</v>
      </c>
      <c r="C6" s="25" t="n">
        <v>0.2637</v>
      </c>
      <c r="D6" s="25" t="n">
        <v>0.3008</v>
      </c>
      <c r="E6" s="25" t="n">
        <v>0.3204</v>
      </c>
      <c r="F6" s="25" t="n">
        <v>0.3792</v>
      </c>
      <c r="G6" s="25" t="n">
        <v>0.4437</v>
      </c>
      <c r="H6" s="25" t="n">
        <v>0.5333</v>
      </c>
      <c r="I6" s="25" t="n">
        <v>0.6494</v>
      </c>
      <c r="J6" s="28"/>
      <c r="K6" s="28"/>
      <c r="L6" s="28"/>
      <c r="M6" s="28"/>
    </row>
    <row r="7" customFormat="false" ht="15" hidden="false" customHeight="false" outlineLevel="0" collapsed="false">
      <c r="A7" s="27" t="s">
        <v>176</v>
      </c>
      <c r="B7" s="25" t="n">
        <v>0.1055</v>
      </c>
      <c r="C7" s="25" t="n">
        <v>0.1385</v>
      </c>
      <c r="D7" s="25" t="n">
        <v>0.1244</v>
      </c>
      <c r="E7" s="25" t="n">
        <v>0.1603</v>
      </c>
      <c r="F7" s="25" t="n">
        <v>0.1546</v>
      </c>
      <c r="G7" s="25" t="n">
        <v>0.2218</v>
      </c>
      <c r="H7" s="25" t="n">
        <v>0.2751</v>
      </c>
      <c r="I7" s="25" t="n">
        <v>0.3569</v>
      </c>
      <c r="J7" s="28"/>
      <c r="K7" s="28"/>
      <c r="L7" s="28"/>
      <c r="M7" s="28"/>
    </row>
    <row r="8" customFormat="false" ht="15" hidden="false" customHeight="false" outlineLevel="0" collapsed="false">
      <c r="A8" s="27" t="s">
        <v>177</v>
      </c>
      <c r="B8" s="29"/>
      <c r="C8" s="29"/>
      <c r="D8" s="29"/>
      <c r="E8" s="29"/>
      <c r="F8" s="29" t="n">
        <f aca="false">F5/B5-1</f>
        <v>0.584446423271</v>
      </c>
      <c r="G8" s="29" t="n">
        <f aca="false">G5/C5-1</f>
        <v>0.654649428145201</v>
      </c>
      <c r="H8" s="29" t="n">
        <f aca="false">H5/D5-1</f>
        <v>0.901222953904045</v>
      </c>
      <c r="I8" s="29" t="n">
        <f aca="false">I5/E5-1</f>
        <v>1.09340545038486</v>
      </c>
      <c r="J8" s="29" t="n">
        <f aca="false">J5/F5-1</f>
        <v>1.36043461970776</v>
      </c>
      <c r="K8" s="29" t="n">
        <f aca="false">K5/G5-1</f>
        <v>1.16378662659654</v>
      </c>
      <c r="L8" s="29" t="n">
        <f aca="false">L5/H5-1</f>
        <v>1.00395843641762</v>
      </c>
      <c r="M8" s="29" t="n">
        <f aca="false">M5/I5-1</f>
        <v>0.788730994733181</v>
      </c>
    </row>
    <row r="9" customFormat="false" ht="15" hidden="false" customHeight="false" outlineLevel="0" collapsed="false">
      <c r="A9" s="5" t="s">
        <v>178</v>
      </c>
      <c r="B9" s="30" t="n">
        <v>0.231</v>
      </c>
      <c r="C9" s="30" t="n">
        <v>0.248</v>
      </c>
      <c r="D9" s="30" t="n">
        <v>0.288</v>
      </c>
      <c r="E9" s="30" t="n">
        <v>0.333</v>
      </c>
      <c r="F9" s="30" t="n">
        <v>0.34</v>
      </c>
      <c r="G9" s="30" t="n">
        <v>0.361</v>
      </c>
      <c r="H9" s="30" t="n">
        <v>0.442</v>
      </c>
      <c r="I9" s="30" t="n">
        <v>0.474</v>
      </c>
      <c r="J9" s="29"/>
      <c r="K9" s="29"/>
      <c r="L9" s="29"/>
      <c r="M9" s="29"/>
    </row>
    <row r="10" customFormat="false" ht="15" hidden="false" customHeight="false" outlineLevel="0" collapsed="false">
      <c r="A10" s="27" t="s">
        <v>179</v>
      </c>
      <c r="B10" s="30" t="n">
        <v>0.328</v>
      </c>
      <c r="C10" s="30" t="n">
        <v>0.323</v>
      </c>
      <c r="D10" s="30" t="n">
        <v>0.352</v>
      </c>
      <c r="E10" s="30" t="n">
        <v>0.378</v>
      </c>
      <c r="F10" s="30" t="n">
        <v>0.394</v>
      </c>
      <c r="G10" s="30" t="n">
        <v>0.425</v>
      </c>
      <c r="H10" s="30" t="n">
        <v>0.479</v>
      </c>
      <c r="I10" s="30" t="n">
        <v>0.504</v>
      </c>
      <c r="J10" s="29"/>
      <c r="K10" s="29"/>
      <c r="L10" s="29"/>
      <c r="M10" s="29"/>
    </row>
    <row r="11" customFormat="false" ht="15" hidden="false" customHeight="false" outlineLevel="0" collapsed="false">
      <c r="A11" s="5" t="s">
        <v>180</v>
      </c>
      <c r="B11" s="30" t="n">
        <v>0.03</v>
      </c>
      <c r="C11" s="30" t="n">
        <v>0.079</v>
      </c>
      <c r="D11" s="30" t="n">
        <v>0.108</v>
      </c>
      <c r="E11" s="30" t="n">
        <v>0.15</v>
      </c>
      <c r="F11" s="30" t="n">
        <v>0.187</v>
      </c>
      <c r="G11" s="30" t="n">
        <v>0.252</v>
      </c>
      <c r="H11" s="30" t="n">
        <v>0.322</v>
      </c>
      <c r="I11" s="30" t="n">
        <v>0.366</v>
      </c>
      <c r="J11" s="10" t="n">
        <f aca="false">Assumptions!$B$42</f>
        <v>0.4</v>
      </c>
      <c r="K11" s="10" t="n">
        <f aca="false">Assumptions!$B$43</f>
        <v>0.41</v>
      </c>
      <c r="L11" s="10" t="n">
        <f aca="false">Assumptions!$B$44</f>
        <v>0.415</v>
      </c>
      <c r="M11" s="10" t="n">
        <f aca="false">Assumptions!$B$45</f>
        <v>0.42</v>
      </c>
    </row>
    <row r="12" customFormat="false" ht="15" hidden="false" customHeight="false" outlineLevel="0" collapsed="false">
      <c r="A12" s="27" t="s">
        <v>181</v>
      </c>
      <c r="B12" s="28" t="n">
        <f aca="false">B5*B11</f>
        <v>0.010107</v>
      </c>
      <c r="C12" s="28" t="n">
        <f aca="false">C5*C11</f>
        <v>0.0317738</v>
      </c>
      <c r="D12" s="28" t="n">
        <f aca="false">D5*D11</f>
        <v>0.0459216</v>
      </c>
      <c r="E12" s="28" t="n">
        <f aca="false">E5*E11</f>
        <v>0.072105</v>
      </c>
      <c r="F12" s="28" t="n">
        <f aca="false">F5*F11</f>
        <v>0.0998206</v>
      </c>
      <c r="G12" s="28" t="n">
        <f aca="false">G5*G11</f>
        <v>0.167706</v>
      </c>
      <c r="H12" s="28" t="n">
        <f aca="false">H5*H11</f>
        <v>0.2603048</v>
      </c>
      <c r="I12" s="28" t="n">
        <f aca="false">I5*I11</f>
        <v>0.3683058</v>
      </c>
      <c r="J12" s="28" t="n">
        <f aca="false">J5*J11</f>
        <v>0.504</v>
      </c>
      <c r="K12" s="28" t="n">
        <f aca="false">K5*K11</f>
        <v>0.5904</v>
      </c>
      <c r="L12" s="28" t="n">
        <f aca="false">L5*L11</f>
        <v>0.6723</v>
      </c>
      <c r="M12" s="28" t="n">
        <f aca="false">M5*M11</f>
        <v>0.756</v>
      </c>
    </row>
    <row r="13" customFormat="false" ht="15" hidden="false" customHeight="false" outlineLevel="0" collapsed="false">
      <c r="A13" s="27" t="s">
        <v>182</v>
      </c>
      <c r="B13" s="28"/>
      <c r="C13" s="28"/>
      <c r="D13" s="28"/>
      <c r="E13" s="28"/>
      <c r="F13" s="28"/>
      <c r="G13" s="28"/>
      <c r="H13" s="28"/>
      <c r="I13" s="28"/>
      <c r="J13" s="28" t="n">
        <f aca="false">(J12+Assumptions!$B$46)*(1-Assumptions!$B$32)</f>
        <v>0.433365</v>
      </c>
      <c r="K13" s="28" t="n">
        <f aca="false">(K12+Assumptions!$B$46)*(1-Assumptions!$B$32)</f>
        <v>0.505509</v>
      </c>
      <c r="L13" s="28" t="n">
        <f aca="false">(L12+Assumptions!$B$46)*(1-Assumptions!$B$32)</f>
        <v>0.5738955</v>
      </c>
      <c r="M13" s="28" t="n">
        <f aca="false">(M12+Assumptions!$B$46)*(1-Assumptions!$B$32)</f>
        <v>0.643785</v>
      </c>
    </row>
    <row r="14" customFormat="false" ht="15" hidden="false" customHeight="false" outlineLevel="0" collapsed="false">
      <c r="A14" s="27" t="s">
        <v>183</v>
      </c>
      <c r="B14" s="31" t="n">
        <v>0.0691</v>
      </c>
      <c r="C14" s="31" t="n">
        <v>0.0716</v>
      </c>
      <c r="D14" s="31" t="n">
        <v>0.0722</v>
      </c>
      <c r="E14" s="31" t="n">
        <v>0.072</v>
      </c>
      <c r="F14" s="31" t="n">
        <v>0.0783</v>
      </c>
      <c r="G14" s="31" t="n">
        <v>0.0861</v>
      </c>
      <c r="H14" s="31" t="n">
        <v>0.0952</v>
      </c>
      <c r="I14" s="31" t="n">
        <v>0.1011</v>
      </c>
      <c r="J14" s="32" t="n">
        <f aca="false">Assumptions!$B$31</f>
        <v>0.102</v>
      </c>
      <c r="K14" s="32" t="n">
        <f aca="false">Assumptions!$B$31</f>
        <v>0.102</v>
      </c>
      <c r="L14" s="32" t="n">
        <f aca="false">Assumptions!$B$31</f>
        <v>0.102</v>
      </c>
      <c r="M14" s="32" t="n">
        <f aca="false">Assumptions!$B$31</f>
        <v>0.102</v>
      </c>
    </row>
    <row r="15" customFormat="false" ht="15" hidden="false" customHeight="false" outlineLevel="0" collapsed="false">
      <c r="A15" s="5" t="s">
        <v>184</v>
      </c>
      <c r="B15" s="33" t="n">
        <v>0.18</v>
      </c>
      <c r="C15" s="33" t="n">
        <v>0.42</v>
      </c>
      <c r="D15" s="33" t="n">
        <v>0.57</v>
      </c>
      <c r="E15" s="33" t="n">
        <v>0.88</v>
      </c>
      <c r="F15" s="33" t="n">
        <v>1.1</v>
      </c>
      <c r="G15" s="33" t="n">
        <v>1.67</v>
      </c>
      <c r="H15" s="33" t="n">
        <v>2.37</v>
      </c>
      <c r="I15" s="33" t="n">
        <v>3.23</v>
      </c>
      <c r="J15" s="34" t="n">
        <f aca="false">J13/J14</f>
        <v>4.24867647058824</v>
      </c>
      <c r="K15" s="34" t="n">
        <f aca="false">K13/K14</f>
        <v>4.95597058823529</v>
      </c>
      <c r="L15" s="34" t="n">
        <f aca="false">L13/L14</f>
        <v>5.62642647058824</v>
      </c>
      <c r="M15" s="34" t="n">
        <f aca="false">M13/M14</f>
        <v>6.31161764705882</v>
      </c>
    </row>
    <row r="17" customFormat="false" ht="15" hidden="false" customHeight="false" outlineLevel="0" collapsed="false">
      <c r="A17" s="11" t="s">
        <v>185</v>
      </c>
    </row>
    <row r="18" customFormat="false" ht="15" hidden="false" customHeight="false" outlineLevel="0" collapsed="false">
      <c r="A18" s="0" t="s">
        <v>186</v>
      </c>
      <c r="B18" s="35" t="n">
        <f aca="false">SUM(F15:I15)</f>
        <v>8.37</v>
      </c>
    </row>
    <row r="19" customFormat="false" ht="15" hidden="false" customHeight="false" outlineLevel="0" collapsed="false">
      <c r="A19" s="0" t="s">
        <v>187</v>
      </c>
      <c r="B19" s="24" t="n">
        <f aca="false">I5/E5-1</f>
        <v>1.09340545038486</v>
      </c>
    </row>
    <row r="20" customFormat="false" ht="15" hidden="false" customHeight="false" outlineLevel="0" collapsed="false">
      <c r="A20" s="0" t="s">
        <v>188</v>
      </c>
      <c r="B20" s="24" t="n">
        <f aca="false">I6/E6-1</f>
        <v>1.02684144818976</v>
      </c>
    </row>
    <row r="21" customFormat="false" ht="15" hidden="false" customHeight="false" outlineLevel="0" collapsed="false">
      <c r="A21" s="0" t="s">
        <v>189</v>
      </c>
      <c r="B21" s="24" t="n">
        <f aca="false">I7/E7-1</f>
        <v>1.22645040548971</v>
      </c>
    </row>
    <row r="22" customFormat="false" ht="15" hidden="false" customHeight="false" outlineLevel="0" collapsed="false">
      <c r="A22" s="0" t="s">
        <v>190</v>
      </c>
      <c r="B22" s="36" t="n">
        <f aca="false">(I9-E9)*100</f>
        <v>14.1</v>
      </c>
    </row>
    <row r="23" customFormat="false" ht="15" hidden="false" customHeight="false" outlineLevel="0" collapsed="false">
      <c r="A23" s="0" t="s">
        <v>191</v>
      </c>
      <c r="B23" s="35" t="n">
        <f aca="false">J15</f>
        <v>4.24867647058824</v>
      </c>
      <c r="C23" s="35" t="n">
        <f aca="false">Assumptions!$B$29</f>
        <v>4.05</v>
      </c>
      <c r="D23" s="35" t="n">
        <f aca="false">Assumptions!$B$30</f>
        <v>4.35</v>
      </c>
    </row>
    <row r="24" customFormat="false" ht="15" hidden="false" customHeight="false" outlineLevel="0" collapsed="false">
      <c r="A24" s="0" t="s">
        <v>192</v>
      </c>
      <c r="B24" s="24" t="n">
        <f aca="false">J11</f>
        <v>0.4</v>
      </c>
    </row>
    <row r="26" customFormat="false" ht="15" hidden="false" customHeight="false" outlineLevel="0" collapsed="false">
      <c r="A26" s="12" t="s">
        <v>193</v>
      </c>
    </row>
    <row r="27" customFormat="false" ht="15" hidden="false" customHeight="false" outlineLevel="0" collapsed="false">
      <c r="A27" s="12" t="s">
        <v>194</v>
      </c>
    </row>
    <row r="28" customFormat="false" ht="15" hidden="false" customHeight="false" outlineLevel="0" collapsed="false">
      <c r="A28" s="12" t="s">
        <v>195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52"/>
    <col collapsed="false" customWidth="true" hidden="false" outlineLevel="0" max="6" min="2" style="0" width="12"/>
  </cols>
  <sheetData>
    <row r="1" customFormat="false" ht="15" hidden="false" customHeight="false" outlineLevel="0" collapsed="false">
      <c r="A1" s="1" t="s">
        <v>196</v>
      </c>
    </row>
    <row r="2" customFormat="false" ht="15" hidden="false" customHeight="false" outlineLevel="0" collapsed="false">
      <c r="A2" s="2" t="s">
        <v>1</v>
      </c>
    </row>
    <row r="4" customFormat="false" ht="15" hidden="false" customHeight="false" outlineLevel="0" collapsed="false">
      <c r="A4" s="3"/>
      <c r="B4" s="4" t="s">
        <v>197</v>
      </c>
      <c r="C4" s="4" t="s">
        <v>198</v>
      </c>
      <c r="D4" s="4" t="s">
        <v>199</v>
      </c>
      <c r="E4" s="4" t="s">
        <v>200</v>
      </c>
      <c r="F4" s="4" t="s">
        <v>201</v>
      </c>
    </row>
    <row r="5" customFormat="false" ht="15" hidden="false" customHeight="false" outlineLevel="0" collapsed="false">
      <c r="A5" s="5" t="s">
        <v>174</v>
      </c>
      <c r="B5" s="37" t="n">
        <v>1.3592</v>
      </c>
      <c r="C5" s="37" t="n">
        <v>1.645</v>
      </c>
      <c r="D5" s="37" t="n">
        <v>3.014</v>
      </c>
      <c r="E5" s="38" t="n">
        <f aca="false">SUM(Quarterly!J5:M5)</f>
        <v>6.12</v>
      </c>
      <c r="F5" s="38" t="n">
        <f aca="false">E5*(1+Scenarios!B6)</f>
        <v>8.262</v>
      </c>
    </row>
    <row r="6" customFormat="false" ht="15" hidden="false" customHeight="false" outlineLevel="0" collapsed="false">
      <c r="A6" s="27" t="s">
        <v>202</v>
      </c>
      <c r="B6" s="29" t="n">
        <f aca="false">B5/Assumptions!$B$36-1</f>
        <v>-0.230786644029428</v>
      </c>
      <c r="C6" s="29" t="n">
        <f aca="false">C5/B5-1</f>
        <v>0.210270747498529</v>
      </c>
      <c r="D6" s="29" t="n">
        <f aca="false">D5/C5-1</f>
        <v>0.832218844984802</v>
      </c>
      <c r="E6" s="29" t="n">
        <f aca="false">E5/D5-1</f>
        <v>1.03052422030524</v>
      </c>
      <c r="F6" s="29" t="n">
        <f aca="false">F5/E5-1</f>
        <v>0.35</v>
      </c>
    </row>
    <row r="7" customFormat="false" ht="15" hidden="false" customHeight="false" outlineLevel="0" collapsed="false">
      <c r="A7" s="27" t="s">
        <v>178</v>
      </c>
      <c r="B7" s="30" t="n">
        <v>0.185</v>
      </c>
      <c r="C7" s="30" t="n">
        <v>0.28</v>
      </c>
      <c r="D7" s="30" t="n">
        <v>0.417</v>
      </c>
      <c r="E7" s="29"/>
      <c r="F7" s="29"/>
    </row>
    <row r="8" customFormat="false" ht="15" hidden="false" customHeight="false" outlineLevel="0" collapsed="false">
      <c r="A8" s="27" t="s">
        <v>179</v>
      </c>
      <c r="B8" s="30" t="n">
        <v>0.302</v>
      </c>
      <c r="C8" s="30" t="n">
        <v>0.347</v>
      </c>
      <c r="D8" s="30" t="n">
        <v>0.46</v>
      </c>
      <c r="E8" s="29"/>
      <c r="F8" s="29"/>
    </row>
    <row r="9" customFormat="false" ht="15" hidden="false" customHeight="false" outlineLevel="0" collapsed="false">
      <c r="A9" s="5" t="s">
        <v>203</v>
      </c>
      <c r="B9" s="25" t="n">
        <v>-0.0082</v>
      </c>
      <c r="C9" s="25" t="n">
        <v>0.1601</v>
      </c>
      <c r="D9" s="25" t="n">
        <v>0.897</v>
      </c>
      <c r="E9" s="28" t="n">
        <f aca="false">SUM(Quarterly!J12:M12)</f>
        <v>2.5227</v>
      </c>
      <c r="F9" s="28" t="n">
        <f aca="false">F5*Scenarios!C6</f>
        <v>3.42873</v>
      </c>
    </row>
    <row r="10" customFormat="false" ht="15" hidden="false" customHeight="false" outlineLevel="0" collapsed="false">
      <c r="A10" s="27" t="s">
        <v>204</v>
      </c>
      <c r="B10" s="29" t="n">
        <f aca="false">B9/B5</f>
        <v>-0.00603296056503826</v>
      </c>
      <c r="C10" s="29" t="n">
        <f aca="false">C9/C5</f>
        <v>0.0973252279635258</v>
      </c>
      <c r="D10" s="29" t="n">
        <f aca="false">D9/D5</f>
        <v>0.297611147976112</v>
      </c>
      <c r="E10" s="29" t="n">
        <f aca="false">E9/E5</f>
        <v>0.412205882352941</v>
      </c>
      <c r="F10" s="29" t="n">
        <f aca="false">F9/F5</f>
        <v>0.415</v>
      </c>
    </row>
    <row r="11" customFormat="false" ht="15" hidden="false" customHeight="false" outlineLevel="0" collapsed="false">
      <c r="A11" s="27" t="s">
        <v>205</v>
      </c>
      <c r="B11" s="28"/>
      <c r="C11" s="28"/>
      <c r="D11" s="25" t="n">
        <v>0.0399</v>
      </c>
      <c r="E11" s="28" t="n">
        <f aca="false">4*Assumptions!$B$46</f>
        <v>0.06</v>
      </c>
      <c r="F11" s="26" t="n">
        <f aca="false">Assumptions!$B$47</f>
        <v>0.06</v>
      </c>
    </row>
    <row r="12" customFormat="false" ht="15" hidden="false" customHeight="false" outlineLevel="0" collapsed="false">
      <c r="A12" s="27" t="s">
        <v>206</v>
      </c>
      <c r="B12" s="29"/>
      <c r="C12" s="29"/>
      <c r="D12" s="30" t="n">
        <v>0.165</v>
      </c>
      <c r="E12" s="10" t="n">
        <f aca="false">Assumptions!$B$32</f>
        <v>0.165</v>
      </c>
      <c r="F12" s="10" t="n">
        <f aca="false">Assumptions!$B$32</f>
        <v>0.165</v>
      </c>
    </row>
    <row r="13" customFormat="false" ht="15" hidden="false" customHeight="false" outlineLevel="0" collapsed="false">
      <c r="A13" s="5" t="s">
        <v>207</v>
      </c>
      <c r="B13" s="28"/>
      <c r="C13" s="28"/>
      <c r="D13" s="25" t="n">
        <v>0.7823</v>
      </c>
      <c r="E13" s="28" t="n">
        <f aca="false">SUM(Quarterly!J13:M13)</f>
        <v>2.1565545</v>
      </c>
      <c r="F13" s="28" t="n">
        <f aca="false">(F9+F11)*(1-F12)</f>
        <v>2.91308955</v>
      </c>
    </row>
    <row r="14" customFormat="false" ht="15" hidden="false" customHeight="false" outlineLevel="0" collapsed="false">
      <c r="A14" s="27" t="s">
        <v>208</v>
      </c>
      <c r="B14" s="39"/>
      <c r="C14" s="31" t="n">
        <v>0.0712</v>
      </c>
      <c r="D14" s="31" t="n">
        <v>0.0902</v>
      </c>
      <c r="E14" s="32" t="n">
        <f aca="false">Assumptions!$B$31</f>
        <v>0.102</v>
      </c>
      <c r="F14" s="39" t="n">
        <f aca="false">E14*(1+Assumptions!$B$48)</f>
        <v>0.10302</v>
      </c>
    </row>
    <row r="15" customFormat="false" ht="15" hidden="false" customHeight="false" outlineLevel="0" collapsed="false">
      <c r="A15" s="5" t="s">
        <v>209</v>
      </c>
      <c r="B15" s="33" t="n">
        <v>0.44</v>
      </c>
      <c r="C15" s="33" t="n">
        <v>2.06</v>
      </c>
      <c r="D15" s="33" t="n">
        <v>8.67</v>
      </c>
      <c r="E15" s="34" t="n">
        <f aca="false">SUM(Quarterly!J15:M15)</f>
        <v>21.1426911764706</v>
      </c>
      <c r="F15" s="34" t="n">
        <f aca="false">F13/F14</f>
        <v>28.2769321490973</v>
      </c>
    </row>
    <row r="16" customFormat="false" ht="15" hidden="false" customHeight="false" outlineLevel="0" collapsed="false">
      <c r="A16" s="27" t="s">
        <v>210</v>
      </c>
      <c r="B16" s="29"/>
      <c r="C16" s="29" t="n">
        <f aca="false">C15/B15-1</f>
        <v>3.68181818181818</v>
      </c>
      <c r="D16" s="29" t="n">
        <f aca="false">D15/C15-1</f>
        <v>3.20873786407767</v>
      </c>
      <c r="E16" s="29" t="n">
        <f aca="false">E15/D15-1</f>
        <v>1.43860336522152</v>
      </c>
      <c r="F16" s="29" t="n">
        <f aca="false">F15/E15-1</f>
        <v>0.33743296504119</v>
      </c>
    </row>
    <row r="17" customFormat="false" ht="15" hidden="false" customHeight="false" outlineLevel="0" collapsed="false">
      <c r="A17" s="27" t="s">
        <v>211</v>
      </c>
      <c r="B17" s="40"/>
      <c r="C17" s="40"/>
      <c r="D17" s="41" t="n">
        <f aca="false">Assumptions!$B$7/D15</f>
        <v>125.913494809689</v>
      </c>
      <c r="E17" s="41" t="n">
        <f aca="false">Assumptions!$B$7/E15</f>
        <v>51.6334458507773</v>
      </c>
      <c r="F17" s="41" t="n">
        <f aca="false">Assumptions!$B$7/F15</f>
        <v>38.6063804320743</v>
      </c>
    </row>
    <row r="18" customFormat="false" ht="15" hidden="false" customHeight="false" outlineLevel="0" collapsed="false">
      <c r="A18" s="27" t="s">
        <v>212</v>
      </c>
      <c r="B18" s="34"/>
      <c r="C18" s="34"/>
      <c r="D18" s="34"/>
      <c r="E18" s="9" t="n">
        <f aca="false">Assumptions!$B$18</f>
        <v>21.74</v>
      </c>
      <c r="F18" s="9" t="n">
        <f aca="false">Assumptions!$B$20</f>
        <v>32.96</v>
      </c>
    </row>
    <row r="19" customFormat="false" ht="15" hidden="false" customHeight="false" outlineLevel="0" collapsed="false">
      <c r="A19" s="27" t="s">
        <v>213</v>
      </c>
      <c r="B19" s="29"/>
      <c r="C19" s="29"/>
      <c r="D19" s="29"/>
      <c r="E19" s="29" t="n">
        <f aca="false">E15/E18-1</f>
        <v>-0.0274751068780778</v>
      </c>
      <c r="F19" s="29" t="n">
        <f aca="false">F15/F18-1</f>
        <v>-0.142083369262826</v>
      </c>
    </row>
    <row r="20" customFormat="false" ht="15" hidden="false" customHeight="false" outlineLevel="0" collapsed="false">
      <c r="A20" s="27" t="s">
        <v>214</v>
      </c>
      <c r="B20" s="40"/>
      <c r="C20" s="40"/>
      <c r="D20" s="40"/>
      <c r="E20" s="41" t="n">
        <f aca="false">Assumptions!$B$7/E18</f>
        <v>50.2148114075437</v>
      </c>
      <c r="F20" s="41" t="n">
        <f aca="false">Assumptions!$B$7/F18</f>
        <v>33.1210558252427</v>
      </c>
    </row>
    <row r="23" customFormat="false" ht="15" hidden="false" customHeight="false" outlineLevel="0" collapsed="false">
      <c r="A23" s="12" t="s">
        <v>215</v>
      </c>
    </row>
    <row r="24" customFormat="false" ht="15" hidden="false" customHeight="false" outlineLevel="0" collapsed="false">
      <c r="A24" s="12" t="s">
        <v>216</v>
      </c>
    </row>
    <row r="25" customFormat="false" ht="15" hidden="false" customHeight="false" outlineLevel="0" collapsed="false">
      <c r="A25" s="12" t="s">
        <v>217</v>
      </c>
    </row>
    <row r="26" customFormat="false" ht="15" hidden="false" customHeight="false" outlineLevel="0" collapsed="false">
      <c r="A26" s="12" t="s">
        <v>218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0"/>
    <col collapsed="false" customWidth="true" hidden="false" outlineLevel="0" max="10" min="2" style="0" width="12"/>
  </cols>
  <sheetData>
    <row r="1" customFormat="false" ht="15" hidden="false" customHeight="false" outlineLevel="0" collapsed="false">
      <c r="A1" s="1" t="s">
        <v>219</v>
      </c>
    </row>
    <row r="2" customFormat="false" ht="15" hidden="false" customHeight="false" outlineLevel="0" collapsed="false">
      <c r="A2" s="2" t="s">
        <v>1</v>
      </c>
    </row>
    <row r="4" customFormat="false" ht="23.85" hidden="false" customHeight="false" outlineLevel="0" collapsed="false">
      <c r="A4" s="3" t="s">
        <v>220</v>
      </c>
      <c r="B4" s="4" t="s">
        <v>221</v>
      </c>
      <c r="C4" s="4" t="s">
        <v>222</v>
      </c>
      <c r="D4" s="4" t="s">
        <v>223</v>
      </c>
      <c r="E4" s="4" t="s">
        <v>224</v>
      </c>
      <c r="F4" s="4" t="s">
        <v>225</v>
      </c>
      <c r="G4" s="4" t="s">
        <v>226</v>
      </c>
      <c r="H4" s="4" t="s">
        <v>227</v>
      </c>
      <c r="I4" s="4" t="s">
        <v>228</v>
      </c>
      <c r="J4" s="4" t="s">
        <v>229</v>
      </c>
    </row>
    <row r="5" customFormat="false" ht="15" hidden="false" customHeight="false" outlineLevel="0" collapsed="false">
      <c r="A5" s="5" t="s">
        <v>230</v>
      </c>
      <c r="B5" s="19" t="n">
        <v>0.1</v>
      </c>
      <c r="C5" s="19" t="n">
        <v>0.33</v>
      </c>
      <c r="D5" s="42" t="n">
        <f aca="false">Financials!$E$5*(1+B5)</f>
        <v>6.732</v>
      </c>
      <c r="E5" s="23" t="n">
        <f aca="false">D5*C5</f>
        <v>2.22156</v>
      </c>
      <c r="F5" s="23" t="n">
        <f aca="false">(E5+Assumptions!$B$47)*(1-Assumptions!$B$32)</f>
        <v>1.9051026</v>
      </c>
      <c r="G5" s="35" t="n">
        <f aca="false">F5/Financials!$F$14</f>
        <v>18.4925509609785</v>
      </c>
      <c r="H5" s="20" t="n">
        <v>22</v>
      </c>
      <c r="I5" s="35" t="n">
        <f aca="false">G5*H5</f>
        <v>406.836121141526</v>
      </c>
      <c r="J5" s="43" t="n">
        <f aca="false">I5/Assumptions!$B$7-1</f>
        <v>-0.627326828490729</v>
      </c>
    </row>
    <row r="6" customFormat="false" ht="15" hidden="false" customHeight="false" outlineLevel="0" collapsed="false">
      <c r="A6" s="5" t="s">
        <v>231</v>
      </c>
      <c r="B6" s="19" t="n">
        <v>0.35</v>
      </c>
      <c r="C6" s="19" t="n">
        <v>0.415</v>
      </c>
      <c r="D6" s="42" t="n">
        <f aca="false">Financials!$E$5*(1+B6)</f>
        <v>8.262</v>
      </c>
      <c r="E6" s="23" t="n">
        <f aca="false">D6*C6</f>
        <v>3.42873</v>
      </c>
      <c r="F6" s="23" t="n">
        <f aca="false">(E6+Assumptions!$B$47)*(1-Assumptions!$B$32)</f>
        <v>2.91308955</v>
      </c>
      <c r="G6" s="35" t="n">
        <f aca="false">F6/Financials!$F$14</f>
        <v>28.2769321490973</v>
      </c>
      <c r="H6" s="44" t="n">
        <f aca="false">Assumptions!$B$49</f>
        <v>35</v>
      </c>
      <c r="I6" s="35" t="n">
        <f aca="false">G6*H6</f>
        <v>989.692625218404</v>
      </c>
      <c r="J6" s="43" t="n">
        <f aca="false">I6/Assumptions!$B$7-1</f>
        <v>-0.0934141038790074</v>
      </c>
    </row>
    <row r="7" customFormat="false" ht="15" hidden="false" customHeight="false" outlineLevel="0" collapsed="false">
      <c r="A7" s="5" t="s">
        <v>232</v>
      </c>
      <c r="B7" s="19" t="n">
        <v>0.55</v>
      </c>
      <c r="C7" s="19" t="n">
        <v>0.45</v>
      </c>
      <c r="D7" s="42" t="n">
        <f aca="false">Financials!$E$5*(1+B7)</f>
        <v>9.486</v>
      </c>
      <c r="E7" s="23" t="n">
        <f aca="false">D7*C7</f>
        <v>4.2687</v>
      </c>
      <c r="F7" s="23" t="n">
        <f aca="false">(E7+Assumptions!$B$47)*(1-Assumptions!$B$32)</f>
        <v>3.6144645</v>
      </c>
      <c r="G7" s="35" t="n">
        <f aca="false">F7/Financials!$F$14</f>
        <v>35.0850757134537</v>
      </c>
      <c r="H7" s="20" t="n">
        <v>42</v>
      </c>
      <c r="I7" s="35" t="n">
        <f aca="false">G7*H7</f>
        <v>1473.57317996506</v>
      </c>
      <c r="J7" s="43" t="n">
        <f aca="false">I7/Assumptions!$B$7-1</f>
        <v>0.349833905818659</v>
      </c>
    </row>
    <row r="9" customFormat="false" ht="15" hidden="false" customHeight="false" outlineLevel="0" collapsed="false">
      <c r="B9" s="5" t="s">
        <v>230</v>
      </c>
      <c r="C9" s="5" t="s">
        <v>231</v>
      </c>
      <c r="D9" s="5" t="s">
        <v>232</v>
      </c>
    </row>
    <row r="10" customFormat="false" ht="15" hidden="false" customHeight="false" outlineLevel="0" collapsed="false">
      <c r="A10" s="5" t="s">
        <v>233</v>
      </c>
      <c r="B10" s="45" t="n">
        <v>0.25</v>
      </c>
      <c r="C10" s="45" t="n">
        <v>0.5</v>
      </c>
      <c r="D10" s="45" t="n">
        <v>0.25</v>
      </c>
      <c r="E10" s="43" t="n">
        <f aca="false">SUM(B10:D10)</f>
        <v>1</v>
      </c>
      <c r="F10" s="12" t="s">
        <v>234</v>
      </c>
    </row>
    <row r="12" customFormat="false" ht="15" hidden="false" customHeight="false" outlineLevel="0" collapsed="false">
      <c r="A12" s="5" t="s">
        <v>15</v>
      </c>
      <c r="I12" s="46" t="n">
        <f aca="false">B10*I5+C10*I6+D10*I7</f>
        <v>964.948637885848</v>
      </c>
      <c r="J12" s="24" t="n">
        <f aca="false">I12/Assumptions!$B$7-1</f>
        <v>-0.116080282607521</v>
      </c>
    </row>
    <row r="14" customFormat="false" ht="15" hidden="false" customHeight="false" outlineLevel="0" collapsed="false">
      <c r="A14" s="12" t="s">
        <v>235</v>
      </c>
    </row>
    <row r="15" customFormat="false" ht="15" hidden="false" customHeight="false" outlineLevel="0" collapsed="false">
      <c r="A15" s="12" t="s">
        <v>236</v>
      </c>
    </row>
    <row r="16" customFormat="false" ht="15" hidden="false" customHeight="false" outlineLevel="0" collapsed="false">
      <c r="A16" s="12" t="s">
        <v>237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64"/>
    <col collapsed="false" customWidth="true" hidden="false" outlineLevel="0" max="2" min="2" style="0" width="16"/>
    <col collapsed="false" customWidth="true" hidden="false" outlineLevel="0" max="3" min="3" style="0" width="70"/>
  </cols>
  <sheetData>
    <row r="1" customFormat="false" ht="15" hidden="false" customHeight="false" outlineLevel="0" collapsed="false">
      <c r="A1" s="1" t="s">
        <v>238</v>
      </c>
    </row>
    <row r="2" customFormat="false" ht="15" hidden="false" customHeight="false" outlineLevel="0" collapsed="false">
      <c r="A2" s="2" t="s">
        <v>1</v>
      </c>
    </row>
    <row r="4" customFormat="false" ht="15" hidden="false" customHeight="false" outlineLevel="0" collapsed="false">
      <c r="A4" s="3" t="s">
        <v>239</v>
      </c>
      <c r="B4" s="4" t="s">
        <v>3</v>
      </c>
      <c r="C4" s="4" t="s">
        <v>132</v>
      </c>
    </row>
    <row r="5" customFormat="false" ht="15" hidden="false" customHeight="false" outlineLevel="0" collapsed="false">
      <c r="A5" s="0" t="s">
        <v>240</v>
      </c>
      <c r="B5" s="35" t="n">
        <f aca="false">Financials!F15</f>
        <v>28.2769321490973</v>
      </c>
      <c r="C5" s="7" t="s">
        <v>241</v>
      </c>
    </row>
    <row r="6" customFormat="false" ht="15" hidden="false" customHeight="false" outlineLevel="0" collapsed="false">
      <c r="A6" s="0" t="s">
        <v>242</v>
      </c>
      <c r="B6" s="47" t="n">
        <f aca="false">Assumptions!$B$49</f>
        <v>35</v>
      </c>
      <c r="C6" s="7" t="s">
        <v>243</v>
      </c>
    </row>
    <row r="7" customFormat="false" ht="15" hidden="false" customHeight="false" outlineLevel="0" collapsed="false">
      <c r="A7" s="5" t="s">
        <v>244</v>
      </c>
      <c r="B7" s="46" t="n">
        <f aca="false">B5*B6</f>
        <v>989.692625218404</v>
      </c>
      <c r="C7" s="7" t="s">
        <v>245</v>
      </c>
    </row>
    <row r="8" customFormat="false" ht="15" hidden="false" customHeight="false" outlineLevel="0" collapsed="false">
      <c r="A8" s="0" t="s">
        <v>10</v>
      </c>
      <c r="B8" s="35" t="n">
        <f aca="false">Assumptions!$B$7</f>
        <v>1091.67</v>
      </c>
      <c r="C8" s="7" t="s">
        <v>11</v>
      </c>
    </row>
    <row r="9" customFormat="false" ht="15" hidden="false" customHeight="false" outlineLevel="0" collapsed="false">
      <c r="A9" s="0" t="s">
        <v>14</v>
      </c>
      <c r="B9" s="24" t="n">
        <f aca="false">B7/B8-1</f>
        <v>-0.0934141038790074</v>
      </c>
      <c r="C9" s="7"/>
    </row>
    <row r="10" customFormat="false" ht="15" hidden="false" customHeight="false" outlineLevel="0" collapsed="false">
      <c r="A10" s="0" t="s">
        <v>15</v>
      </c>
      <c r="B10" s="35" t="n">
        <f aca="false">Scenarios!I12</f>
        <v>964.948637885848</v>
      </c>
      <c r="C10" s="7" t="s">
        <v>246</v>
      </c>
    </row>
    <row r="11" customFormat="false" ht="23.85" hidden="false" customHeight="false" outlineLevel="0" collapsed="false">
      <c r="A11" s="0" t="s">
        <v>247</v>
      </c>
      <c r="B11" s="0" t="str">
        <f aca="false">IF(B9&gt;0.15,"LONG",IF(B9&lt;-0.25,"SHORT","NO CALL"))</f>
        <v>NO CALL</v>
      </c>
      <c r="C11" s="7" t="s">
        <v>248</v>
      </c>
    </row>
    <row r="12" customFormat="false" ht="15" hidden="false" customHeight="false" outlineLevel="0" collapsed="false">
      <c r="A12" s="5" t="s">
        <v>249</v>
      </c>
      <c r="B12" s="48" t="s">
        <v>250</v>
      </c>
      <c r="C12" s="7" t="s">
        <v>251</v>
      </c>
    </row>
    <row r="13" customFormat="false" ht="15" hidden="false" customHeight="false" outlineLevel="0" collapsed="false">
      <c r="A13" s="0" t="s">
        <v>252</v>
      </c>
      <c r="B13" s="36" t="n">
        <f aca="false">Assumptions!$B$7*Assumptions!$B$13</f>
        <v>97.922799</v>
      </c>
      <c r="C13" s="7"/>
    </row>
    <row r="14" customFormat="false" ht="15" hidden="false" customHeight="false" outlineLevel="0" collapsed="false">
      <c r="A14" s="0" t="s">
        <v>253</v>
      </c>
      <c r="B14" s="36" t="n">
        <f aca="false">Assumptions!$B$7*(Assumptions!$B$13+Assumptions!$B$14)</f>
        <v>101.06289496305</v>
      </c>
      <c r="C14" s="7"/>
    </row>
    <row r="15" customFormat="false" ht="15" hidden="false" customHeight="false" outlineLevel="0" collapsed="false">
      <c r="A15" s="0" t="s">
        <v>152</v>
      </c>
      <c r="B15" s="23" t="n">
        <f aca="false">Shares!B20</f>
        <v>1.0913</v>
      </c>
      <c r="C15" s="7" t="s">
        <v>153</v>
      </c>
    </row>
    <row r="16" customFormat="false" ht="15" hidden="false" customHeight="false" outlineLevel="0" collapsed="false">
      <c r="A16" s="0" t="s">
        <v>254</v>
      </c>
      <c r="B16" s="36" t="n">
        <f aca="false">B14-B15</f>
        <v>99.97159496305</v>
      </c>
      <c r="C16" s="7"/>
    </row>
    <row r="17" customFormat="false" ht="15" hidden="false" customHeight="false" outlineLevel="0" collapsed="false">
      <c r="A17" s="0" t="s">
        <v>255</v>
      </c>
      <c r="B17" s="43" t="n">
        <f aca="false">Assumptions!$B$7/Assumptions!$B$11-1</f>
        <v>6.29677160617606</v>
      </c>
      <c r="C17" s="7"/>
    </row>
    <row r="18" customFormat="false" ht="15" hidden="false" customHeight="false" outlineLevel="0" collapsed="false">
      <c r="A18" s="0" t="s">
        <v>256</v>
      </c>
      <c r="B18" s="43" t="n">
        <f aca="false">Assumptions!$B$7/Assumptions!$B$12-1</f>
        <v>1.96174611356792</v>
      </c>
      <c r="C18" s="7"/>
    </row>
    <row r="19" customFormat="false" ht="15" hidden="false" customHeight="false" outlineLevel="0" collapsed="false">
      <c r="A19" s="0" t="s">
        <v>257</v>
      </c>
      <c r="B19" s="49" t="n">
        <f aca="false">Financials!E17</f>
        <v>51.6334458507773</v>
      </c>
      <c r="C19" s="7"/>
    </row>
    <row r="20" customFormat="false" ht="15" hidden="false" customHeight="false" outlineLevel="0" collapsed="false">
      <c r="A20" s="0" t="s">
        <v>258</v>
      </c>
      <c r="B20" s="49" t="n">
        <f aca="false">Financials!F17</f>
        <v>38.6063804320743</v>
      </c>
      <c r="C20" s="7"/>
    </row>
    <row r="21" customFormat="false" ht="15" hidden="false" customHeight="false" outlineLevel="0" collapsed="false">
      <c r="A21" s="0" t="s">
        <v>259</v>
      </c>
      <c r="B21" s="49" t="n">
        <f aca="false">Financials!E20</f>
        <v>50.2148114075437</v>
      </c>
      <c r="C21" s="7" t="s">
        <v>260</v>
      </c>
    </row>
    <row r="22" customFormat="false" ht="15" hidden="false" customHeight="false" outlineLevel="0" collapsed="false">
      <c r="A22" s="0" t="s">
        <v>261</v>
      </c>
      <c r="B22" s="49" t="n">
        <f aca="false">Financials!F20</f>
        <v>33.1210558252427</v>
      </c>
      <c r="C22" s="7" t="s">
        <v>262</v>
      </c>
    </row>
    <row r="23" customFormat="false" ht="23.85" hidden="false" customHeight="false" outlineLevel="0" collapsed="false">
      <c r="A23" s="0" t="s">
        <v>263</v>
      </c>
      <c r="B23" s="49" t="n">
        <f aca="false">Assumptions!$B$7/Quarterly!B18</f>
        <v>130.426523297491</v>
      </c>
      <c r="C23" s="7" t="s">
        <v>264</v>
      </c>
    </row>
    <row r="24" customFormat="false" ht="15" hidden="false" customHeight="false" outlineLevel="0" collapsed="false">
      <c r="A24" s="0" t="s">
        <v>265</v>
      </c>
      <c r="B24" s="49" t="n">
        <f aca="false">Assumptions!$B$7/(4*(Assumptions!$B$29+Assumptions!$B$30)/2)</f>
        <v>64.9803571428572</v>
      </c>
      <c r="C24" s="7"/>
    </row>
    <row r="25" customFormat="false" ht="15" hidden="false" customHeight="false" outlineLevel="0" collapsed="false">
      <c r="C25" s="7"/>
    </row>
    <row r="26" customFormat="false" ht="15" hidden="false" customHeight="false" outlineLevel="0" collapsed="false">
      <c r="A26" s="0" t="s">
        <v>266</v>
      </c>
      <c r="B26" s="35" t="n">
        <f aca="false">Assumptions!$B$7/Assumptions!$B$49</f>
        <v>31.1905714285714</v>
      </c>
      <c r="C26" s="7" t="s">
        <v>267</v>
      </c>
    </row>
    <row r="27" customFormat="false" ht="15" hidden="false" customHeight="false" outlineLevel="0" collapsed="false">
      <c r="A27" s="0" t="s">
        <v>268</v>
      </c>
      <c r="B27" s="23" t="n">
        <f aca="false">B26*Financials!F14/(1-Assumptions!$B$32)-Assumptions!$B$47</f>
        <v>3.7882067887083</v>
      </c>
      <c r="C27" s="7"/>
    </row>
    <row r="28" customFormat="false" ht="15" hidden="false" customHeight="false" outlineLevel="0" collapsed="false">
      <c r="A28" s="0" t="s">
        <v>269</v>
      </c>
      <c r="B28" s="42" t="n">
        <f aca="false">B27/Scenarios!C6</f>
        <v>9.12820912941759</v>
      </c>
      <c r="C28" s="7" t="s">
        <v>270</v>
      </c>
    </row>
    <row r="29" customFormat="false" ht="15" hidden="false" customHeight="false" outlineLevel="0" collapsed="false">
      <c r="A29" s="0" t="s">
        <v>271</v>
      </c>
      <c r="B29" s="24" t="n">
        <f aca="false">B28/Financials!E5-1</f>
        <v>0.491537439447318</v>
      </c>
      <c r="C29" s="7"/>
    </row>
    <row r="30" customFormat="false" ht="15" hidden="false" customHeight="false" outlineLevel="0" collapsed="false">
      <c r="A30" s="0" t="s">
        <v>272</v>
      </c>
      <c r="B30" s="50" t="n">
        <f aca="false">B28/Financials!D5</f>
        <v>3.02860289628984</v>
      </c>
      <c r="C30" s="7"/>
    </row>
    <row r="31" customFormat="false" ht="15" hidden="false" customHeight="false" outlineLevel="0" collapsed="false">
      <c r="A31" s="0" t="s">
        <v>273</v>
      </c>
      <c r="B31" s="42" t="n">
        <f aca="false">(Assumptions!$B$20*Financials!F14/(1-Assumptions!$B$32)-Assumptions!$B$47)/Scenarios!C6</f>
        <v>9.65425063126759</v>
      </c>
      <c r="C31" s="7"/>
    </row>
    <row r="32" customFormat="false" ht="15" hidden="false" customHeight="false" outlineLevel="0" collapsed="false">
      <c r="A32" s="0" t="s">
        <v>274</v>
      </c>
      <c r="B32" s="35" t="n">
        <f aca="false">B7/1.15</f>
        <v>860.602282798612</v>
      </c>
      <c r="C32" s="7"/>
    </row>
    <row r="33" customFormat="false" ht="15" hidden="false" customHeight="false" outlineLevel="0" collapsed="false">
      <c r="A33" s="0" t="s">
        <v>275</v>
      </c>
      <c r="B33" s="35" t="n">
        <f aca="false">B7/0.75</f>
        <v>1319.59016695787</v>
      </c>
      <c r="C33" s="7"/>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4"/>
    <col collapsed="false" customWidth="true" hidden="false" outlineLevel="0" max="4" min="2" style="0" width="14"/>
  </cols>
  <sheetData>
    <row r="1" customFormat="false" ht="15" hidden="false" customHeight="false" outlineLevel="0" collapsed="false">
      <c r="A1" s="1" t="s">
        <v>276</v>
      </c>
    </row>
    <row r="2" customFormat="false" ht="15" hidden="false" customHeight="false" outlineLevel="0" collapsed="false">
      <c r="A2" s="2" t="s">
        <v>1</v>
      </c>
    </row>
    <row r="4" customFormat="false" ht="15" hidden="false" customHeight="false" outlineLevel="0" collapsed="false">
      <c r="A4" s="3" t="s">
        <v>277</v>
      </c>
      <c r="B4" s="51" t="n">
        <v>28</v>
      </c>
      <c r="C4" s="51" t="n">
        <f aca="false">Assumptions!$B$49</f>
        <v>35</v>
      </c>
      <c r="D4" s="51" t="n">
        <v>42</v>
      </c>
    </row>
    <row r="5" customFormat="false" ht="15" hidden="false" customHeight="false" outlineLevel="0" collapsed="false">
      <c r="A5" s="21" t="n">
        <v>22</v>
      </c>
      <c r="B5" s="52" t="n">
        <f aca="false">$A5*B$4</f>
        <v>616</v>
      </c>
      <c r="C5" s="52" t="n">
        <f aca="false">$A5*C$4</f>
        <v>770</v>
      </c>
      <c r="D5" s="52" t="n">
        <f aca="false">$A5*D$4</f>
        <v>924</v>
      </c>
    </row>
    <row r="6" customFormat="false" ht="15" hidden="false" customHeight="false" outlineLevel="0" collapsed="false">
      <c r="A6" s="53" t="n">
        <f aca="false">Financials!F15</f>
        <v>28.2769321490973</v>
      </c>
      <c r="B6" s="52" t="n">
        <f aca="false">$A6*B$4</f>
        <v>791.754100174723</v>
      </c>
      <c r="C6" s="54" t="n">
        <f aca="false">$A6*C$4</f>
        <v>989.692625218404</v>
      </c>
      <c r="D6" s="52" t="n">
        <f aca="false">$A6*D$4</f>
        <v>1187.63115026209</v>
      </c>
    </row>
    <row r="7" customFormat="false" ht="15" hidden="false" customHeight="false" outlineLevel="0" collapsed="false">
      <c r="A7" s="21" t="n">
        <v>35</v>
      </c>
      <c r="B7" s="52" t="n">
        <f aca="false">$A7*B$4</f>
        <v>980</v>
      </c>
      <c r="C7" s="52" t="n">
        <f aca="false">$A7*C$4</f>
        <v>1225</v>
      </c>
      <c r="D7" s="52" t="n">
        <f aca="false">$A7*D$4</f>
        <v>1470</v>
      </c>
    </row>
    <row r="9" customFormat="false" ht="15" hidden="false" customHeight="false" outlineLevel="0" collapsed="false">
      <c r="A9" s="5" t="s">
        <v>278</v>
      </c>
      <c r="B9" s="0" t="n">
        <f aca="false">COUNTIF(B5:D7,"&gt;"&amp;Assumptions!$B$7)</f>
        <v>3</v>
      </c>
      <c r="C9" s="0" t="s">
        <v>279</v>
      </c>
    </row>
    <row r="11" customFormat="false" ht="15" hidden="false" customHeight="false" outlineLevel="0" collapsed="false">
      <c r="A11" s="12" t="s">
        <v>280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6"/>
    <col collapsed="false" customWidth="true" hidden="false" outlineLevel="0" max="2" min="2" style="0" width="16"/>
    <col collapsed="false" customWidth="true" hidden="false" outlineLevel="0" max="3" min="3" style="0" width="14"/>
    <col collapsed="false" customWidth="true" hidden="false" outlineLevel="0" max="4" min="4" style="0" width="80"/>
  </cols>
  <sheetData>
    <row r="1" customFormat="false" ht="15" hidden="false" customHeight="false" outlineLevel="0" collapsed="false">
      <c r="A1" s="1" t="s">
        <v>281</v>
      </c>
    </row>
    <row r="2" customFormat="false" ht="15" hidden="false" customHeight="false" outlineLevel="0" collapsed="false">
      <c r="A2" s="2" t="s">
        <v>1</v>
      </c>
    </row>
    <row r="4" customFormat="false" ht="15" hidden="false" customHeight="false" outlineLevel="0" collapsed="false">
      <c r="A4" s="3" t="s">
        <v>282</v>
      </c>
      <c r="B4" s="4" t="s">
        <v>283</v>
      </c>
      <c r="C4" s="4" t="s">
        <v>284</v>
      </c>
      <c r="D4" s="4" t="s">
        <v>285</v>
      </c>
    </row>
    <row r="5" customFormat="false" ht="15" hidden="false" customHeight="false" outlineLevel="0" collapsed="false">
      <c r="A5" s="5" t="s">
        <v>286</v>
      </c>
      <c r="B5" s="0" t="s">
        <v>287</v>
      </c>
      <c r="C5" s="55" t="n">
        <f aca="false">Assumptions!$B$22</f>
        <v>51.01</v>
      </c>
      <c r="D5" s="7" t="s">
        <v>288</v>
      </c>
    </row>
    <row r="6" customFormat="false" ht="15" hidden="false" customHeight="false" outlineLevel="0" collapsed="false">
      <c r="A6" s="27" t="s">
        <v>289</v>
      </c>
      <c r="B6" s="0" t="s">
        <v>290</v>
      </c>
      <c r="C6" s="56" t="n">
        <v>55.25</v>
      </c>
      <c r="D6" s="7" t="s">
        <v>291</v>
      </c>
    </row>
    <row r="7" customFormat="false" ht="15" hidden="false" customHeight="false" outlineLevel="0" collapsed="false">
      <c r="A7" s="27" t="s">
        <v>292</v>
      </c>
      <c r="B7" s="0" t="s">
        <v>293</v>
      </c>
      <c r="C7" s="56" t="n">
        <v>40.8</v>
      </c>
      <c r="D7" s="7" t="s">
        <v>294</v>
      </c>
    </row>
    <row r="8" customFormat="false" ht="15" hidden="false" customHeight="false" outlineLevel="0" collapsed="false">
      <c r="A8" s="27" t="s">
        <v>295</v>
      </c>
      <c r="B8" s="0" t="s">
        <v>296</v>
      </c>
      <c r="C8" s="56" t="n">
        <v>35.46</v>
      </c>
      <c r="D8" s="7" t="s">
        <v>297</v>
      </c>
    </row>
    <row r="9" customFormat="false" ht="15" hidden="false" customHeight="false" outlineLevel="0" collapsed="false">
      <c r="A9" s="27" t="s">
        <v>298</v>
      </c>
      <c r="B9" s="0" t="s">
        <v>299</v>
      </c>
      <c r="C9" s="56" t="n">
        <v>26.38</v>
      </c>
      <c r="D9" s="7" t="s">
        <v>300</v>
      </c>
    </row>
    <row r="10" customFormat="false" ht="15" hidden="false" customHeight="false" outlineLevel="0" collapsed="false">
      <c r="A10" s="27" t="s">
        <v>301</v>
      </c>
      <c r="B10" s="0" t="s">
        <v>302</v>
      </c>
      <c r="C10" s="56" t="n">
        <v>20.92</v>
      </c>
      <c r="D10" s="7" t="s">
        <v>303</v>
      </c>
    </row>
    <row r="12" customFormat="false" ht="15" hidden="false" customHeight="false" outlineLevel="0" collapsed="false">
      <c r="A12" s="0" t="s">
        <v>304</v>
      </c>
      <c r="C12" s="49" t="n">
        <f aca="false">MEDIAN(C6:C10)</f>
        <v>35.46</v>
      </c>
    </row>
    <row r="14" customFormat="false" ht="15" hidden="false" customHeight="false" outlineLevel="0" collapsed="false">
      <c r="A14" s="12" t="s">
        <v>305</v>
      </c>
    </row>
    <row r="15" customFormat="false" ht="15" hidden="false" customHeight="false" outlineLevel="0" collapsed="false">
      <c r="A15" s="12" t="s">
        <v>306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6"/>
    <col collapsed="false" customWidth="true" hidden="false" outlineLevel="0" max="2" min="2" style="0" width="130"/>
  </cols>
  <sheetData>
    <row r="1" customFormat="false" ht="15" hidden="false" customHeight="false" outlineLevel="0" collapsed="false">
      <c r="A1" s="1" t="s">
        <v>307</v>
      </c>
    </row>
    <row r="2" customFormat="false" ht="15" hidden="false" customHeight="false" outlineLevel="0" collapsed="false">
      <c r="A2" s="2" t="s">
        <v>1</v>
      </c>
    </row>
    <row r="4" customFormat="false" ht="15" hidden="false" customHeight="false" outlineLevel="0" collapsed="false">
      <c r="A4" s="3" t="s">
        <v>308</v>
      </c>
      <c r="B4" s="4" t="s">
        <v>309</v>
      </c>
    </row>
    <row r="5" customFormat="false" ht="23.85" hidden="false" customHeight="false" outlineLevel="0" collapsed="false">
      <c r="A5" s="0" t="n">
        <v>1</v>
      </c>
      <c r="B5" s="7" t="s">
        <v>310</v>
      </c>
    </row>
    <row r="6" customFormat="false" ht="35.05" hidden="false" customHeight="false" outlineLevel="0" collapsed="false">
      <c r="A6" s="0" t="n">
        <v>2</v>
      </c>
      <c r="B6" s="7" t="s">
        <v>311</v>
      </c>
    </row>
    <row r="7" customFormat="false" ht="23.85" hidden="false" customHeight="false" outlineLevel="0" collapsed="false">
      <c r="A7" s="0" t="n">
        <v>3</v>
      </c>
      <c r="B7" s="7" t="s">
        <v>312</v>
      </c>
    </row>
    <row r="8" customFormat="false" ht="23.85" hidden="false" customHeight="false" outlineLevel="0" collapsed="false">
      <c r="A8" s="0" t="n">
        <v>4</v>
      </c>
      <c r="B8" s="7" t="s">
        <v>313</v>
      </c>
    </row>
    <row r="9" customFormat="false" ht="23.85" hidden="false" customHeight="false" outlineLevel="0" collapsed="false">
      <c r="A9" s="0" t="n">
        <v>5</v>
      </c>
      <c r="B9" s="7" t="s">
        <v>314</v>
      </c>
    </row>
    <row r="10" customFormat="false" ht="15" hidden="false" customHeight="false" outlineLevel="0" collapsed="false">
      <c r="A10" s="0" t="n">
        <v>6</v>
      </c>
      <c r="B10" s="7" t="s">
        <v>315</v>
      </c>
    </row>
    <row r="11" customFormat="false" ht="23.85" hidden="false" customHeight="false" outlineLevel="0" collapsed="false">
      <c r="A11" s="0" t="n">
        <v>7</v>
      </c>
      <c r="B11" s="7" t="s">
        <v>316</v>
      </c>
    </row>
    <row r="12" customFormat="false" ht="23.85" hidden="false" customHeight="false" outlineLevel="0" collapsed="false">
      <c r="A12" s="0" t="n">
        <v>8</v>
      </c>
      <c r="B12" s="7" t="s">
        <v>317</v>
      </c>
    </row>
    <row r="13" customFormat="false" ht="23.85" hidden="false" customHeight="false" outlineLevel="0" collapsed="false">
      <c r="A13" s="0" t="n">
        <v>9</v>
      </c>
      <c r="B13" s="7" t="s">
        <v>318</v>
      </c>
    </row>
    <row r="14" customFormat="false" ht="15" hidden="false" customHeight="false" outlineLevel="0" collapsed="false">
      <c r="A14" s="0" t="n">
        <v>10</v>
      </c>
      <c r="B14" s="7" t="s">
        <v>319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LibreOffice/26.8.0.3$MacOSX_AARCH64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2026-10-06T17:11:00Z</dcterms:created>
  <dc:creator>openpyxl</dc:creator>
  <dc:description/>
  <dc:language>en-GB</dc:language>
  <cp:lastModifiedBy/>
  <dcterms:modified xsi:type="dcterms:W3CDTF">2026-10-06T17:11:00Z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