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7.xml" ContentType="application/vnd.openxmlformats-officedocument.spreadsheetml.worksheet+xml"/>
  <Override PartName="/xl/worksheets/sheet10.xml" ContentType="application/vnd.openxmlformats-officedocument.spreadsheetml.worksheet+xml"/>
  <Override PartName="/xl/worksheets/sheet8.xml" ContentType="application/vnd.openxmlformats-officedocument.spreadsheetml.worksheet+xml"/>
  <Override PartName="/xl/worksheets/sheet6.xml" ContentType="application/vnd.openxmlformats-officedocument.spreadsheetml.worksheet+xml"/>
  <Override PartName="/xl/worksheets/sheet5.xml" ContentType="application/vnd.openxmlformats-officedocument.spreadsheetml.worksheet+xml"/>
  <Override PartName="/xl/worksheets/sheet9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Cover" sheetId="1" state="visible" r:id="rId3"/>
    <sheet name="Assumptions" sheetId="2" state="visible" r:id="rId4"/>
    <sheet name="Quarterly" sheetId="3" state="visible" r:id="rId5"/>
    <sheet name="Financials" sheetId="4" state="visible" r:id="rId6"/>
    <sheet name="Scenarios" sheetId="5" state="visible" r:id="rId7"/>
    <sheet name="Valuation" sheetId="6" state="visible" r:id="rId8"/>
    <sheet name="Funding" sheetId="7" state="visible" r:id="rId9"/>
    <sheet name="Sensitivity" sheetId="8" state="visible" r:id="rId10"/>
    <sheet name="Peers" sheetId="9" state="visible" r:id="rId11"/>
    <sheet name="Sources" sheetId="10" state="visible" r:id="rId1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<sst xmlns="http://schemas.openxmlformats.org/spreadsheetml/2006/main" count="470" uniqueCount="361">
  <si>
    <t xml:space="preserve">CORNING (NYSE: GLW)  INITIATION MODEL</t>
  </si>
  <si>
    <t xml:space="preserve">Tommy Lau | Corning (NYSE: GLW) | 6 October 2026 | Core (non-GAAP) basis | Personal research, not investment advice.</t>
  </si>
  <si>
    <t xml:space="preserve">Item</t>
  </si>
  <si>
    <t xml:space="preserve">Value</t>
  </si>
  <si>
    <t xml:space="preserve">Note</t>
  </si>
  <si>
    <t xml:space="preserve">Call</t>
  </si>
  <si>
    <t xml:space="preserve">Tommy Lau's call, published 6 Oct 2026.</t>
  </si>
  <si>
    <t xml:space="preserve">Conviction</t>
  </si>
  <si>
    <t xml:space="preserve">Medium</t>
  </si>
  <si>
    <t xml:space="preserve">Judgement, not formula.</t>
  </si>
  <si>
    <t xml:space="preserve">Reference price, US$</t>
  </si>
  <si>
    <t xml:space="preserve">NYSE close, 5 October 2026.</t>
  </si>
  <si>
    <t xml:space="preserve">Base value, US$</t>
  </si>
  <si>
    <t xml:space="preserve">27x 2028E core EPS.</t>
  </si>
  <si>
    <t xml:space="preserve">Base value against the price</t>
  </si>
  <si>
    <t xml:space="preserve">Probability-weighted value, US$</t>
  </si>
  <si>
    <t xml:space="preserve">25 / 50 / 25 bear / base / bull.</t>
  </si>
  <si>
    <t xml:space="preserve">2026E / 2027E / 2028E core EPS, US$</t>
  </si>
  <si>
    <t xml:space="preserve">Own estimates.</t>
  </si>
  <si>
    <t xml:space="preserve">Horizon</t>
  </si>
  <si>
    <t xml:space="preserve">12 months, to October 2027</t>
  </si>
  <si>
    <t xml:space="preserve">Wrong if</t>
  </si>
  <si>
    <t xml:space="preserve">See note</t>
  </si>
  <si>
    <t xml:space="preserve">Optical Communications sales of US$11.5bn or more in 2027 with a segment net margin of 24% or more; or the shares close above US$200 or below US$110 by October 2027.</t>
  </si>
  <si>
    <t xml:space="preserve">Revisit if</t>
  </si>
  <si>
    <t xml:space="preserve">A price below about US$127; or Q4 2026 optical sales of US$2.4bn or more with a segment net margin of 23% or more, and the share sale programme largely unused.</t>
  </si>
  <si>
    <t xml:space="preserve">Tabs</t>
  </si>
  <si>
    <t xml:space="preserve">Assumptions</t>
  </si>
  <si>
    <t xml:space="preserve">Every input, with its source. Change the yellow cells to move the value.</t>
  </si>
  <si>
    <t xml:space="preserve">Quarterly</t>
  </si>
  <si>
    <t xml:space="preserve">Q1 2024 to Q2 2026 reported, my Q3 and Q4 2026; optical, the rest, margins, core EPS.</t>
  </si>
  <si>
    <t xml:space="preserve">Financials</t>
  </si>
  <si>
    <t xml:space="preserve">2023A to 2028E: optical and the rest, segment margins, core net income, EPS, P/E, cash.</t>
  </si>
  <si>
    <t xml:space="preserve">Scenarios</t>
  </si>
  <si>
    <t xml:space="preserve">Bear / base / bull, the probability-weighted value, and which part of Corning moves earnings most.</t>
  </si>
  <si>
    <t xml:space="preserve">Valuation</t>
  </si>
  <si>
    <t xml:space="preserve">Base value, market value, multiples, what the price needs.</t>
  </si>
  <si>
    <t xml:space="preserve">Funding</t>
  </si>
  <si>
    <t xml:space="preserve">The share sale question: capital spending, deposits, free cash flow, dilution.</t>
  </si>
  <si>
    <t xml:space="preserve">Sensitivity</t>
  </si>
  <si>
    <t xml:space="preserve">2028E core EPS against multiple.</t>
  </si>
  <si>
    <t xml:space="preserve">Peers</t>
  </si>
  <si>
    <t xml:space="preserve">Forward multiples used to set the base multiple.</t>
  </si>
  <si>
    <t xml:space="preserve">Sources</t>
  </si>
  <si>
    <t xml:space="preserve">Every source used.</t>
  </si>
  <si>
    <t xml:space="preserve">Colour key: blue = hardcoded input; yellow fill = my own assumption; green = link to another tab; black = formula.</t>
  </si>
  <si>
    <t xml:space="preserve">Companion note: 2026-10-06_Corning_Initiation.pdf. Personal research, not investment advice.</t>
  </si>
  <si>
    <t xml:space="preserve">ASSUMPTIONS AND INPUTS</t>
  </si>
  <si>
    <t xml:space="preserve">Blue = hardcoded input. Yellow fill = my own assumption (change these to move the value). Green = link to another tab. Black = formula. US$ billion unless stated; per-share figures in US$. Core (non-GAAP) basis.</t>
  </si>
  <si>
    <t xml:space="preserve">Input</t>
  </si>
  <si>
    <t xml:space="preserve">Unit</t>
  </si>
  <si>
    <t xml:space="preserve">Source / note</t>
  </si>
  <si>
    <t xml:space="preserve">MARKET (retrieved 6 October 2026)</t>
  </si>
  <si>
    <t xml:space="preserve">Share price (NYSE: GLW)</t>
  </si>
  <si>
    <t xml:space="preserve">US$</t>
  </si>
  <si>
    <t xml:space="preserve">NYSE close, 5 October 2026. Yahoo Finance.</t>
  </si>
  <si>
    <t xml:space="preserve">52-week high (intraday, 29 June 2026)</t>
  </si>
  <si>
    <t xml:space="preserve">Yahoo Finance.</t>
  </si>
  <si>
    <t xml:space="preserve">Month-end close, 30 Sep 2025</t>
  </si>
  <si>
    <t xml:space="preserve">Month-end close, 31 Dec 2024</t>
  </si>
  <si>
    <t xml:space="preserve">Close on 11 Sep 2026</t>
  </si>
  <si>
    <t xml:space="preserve">Day the at-the-market programme was filed. stockanalysis.com daily history.</t>
  </si>
  <si>
    <t xml:space="preserve">Close on 14 Sep 2026</t>
  </si>
  <si>
    <t xml:space="preserve">Next trading day.</t>
  </si>
  <si>
    <t xml:space="preserve">Shares outstanding, 24 Jul 2026</t>
  </si>
  <si>
    <t xml:space="preserve">bn</t>
  </si>
  <si>
    <t xml:space="preserve">Prospectus supplement of 11 Sep 2026: 861,388,331.</t>
  </si>
  <si>
    <t xml:space="preserve">Diluted shares, Q2 2026</t>
  </si>
  <si>
    <t xml:space="preserve">Q2 2026 release: 875 million, includes the 3m pre-funded NVIDIA warrant.</t>
  </si>
  <si>
    <t xml:space="preserve">Cash, 30 Jun 2026</t>
  </si>
  <si>
    <t xml:space="preserve">US$bn</t>
  </si>
  <si>
    <t xml:space="preserve">Q2 2026 release.</t>
  </si>
  <si>
    <t xml:space="preserve">Total debt, 30 Jun 2026</t>
  </si>
  <si>
    <t xml:space="preserve">Q2 2026 release: long-term 7.756 + current 0.668.</t>
  </si>
  <si>
    <t xml:space="preserve">Debt due within a year, 30 Jun 2026</t>
  </si>
  <si>
    <t xml:space="preserve">Q2 2026 release and 10-Q.</t>
  </si>
  <si>
    <t xml:space="preserve">Quarterly dividend</t>
  </si>
  <si>
    <t xml:space="preserve">10-Q: US$0.28 a quarter.</t>
  </si>
  <si>
    <t xml:space="preserve">2026 consensus core EPS</t>
  </si>
  <si>
    <t xml:space="preserve">Nasdaq.com (Zacks), 8 estimates, retrieved 6 October 2026.</t>
  </si>
  <si>
    <t xml:space="preserve">2027 consensus core EPS</t>
  </si>
  <si>
    <t xml:space="preserve">Nasdaq.com (Zacks), 8 estimates.</t>
  </si>
  <si>
    <t xml:space="preserve">2028 consensus core EPS</t>
  </si>
  <si>
    <t xml:space="preserve">Nasdaq.com (Zacks), 4 estimates.</t>
  </si>
  <si>
    <t xml:space="preserve">Forward P/E shown by stockanalysis.com</t>
  </si>
  <si>
    <t xml:space="preserve">x</t>
  </si>
  <si>
    <t xml:space="preserve">stockanalysis.com, 6 October 2026.</t>
  </si>
  <si>
    <t xml:space="preserve">Trailing P/E (GAAP) shown by stockanalysis.com</t>
  </si>
  <si>
    <t xml:space="preserve">Average analyst target</t>
  </si>
  <si>
    <t xml:space="preserve">stockanalysis.com, 17 analysts, 6 October 2026.</t>
  </si>
  <si>
    <t xml:space="preserve">REPORTED (Corning releases, Form 10-K, Form 10-Q, 8-Ks)</t>
  </si>
  <si>
    <t xml:space="preserve">Core sales, H1 2026</t>
  </si>
  <si>
    <t xml:space="preserve">Q2 2026 release: 4.345 + 4.738.</t>
  </si>
  <si>
    <t xml:space="preserve">Optical Communications sales, H1 2026</t>
  </si>
  <si>
    <t xml:space="preserve">10-Q segment note.</t>
  </si>
  <si>
    <t xml:space="preserve">Optical Communications net income, H1 2026</t>
  </si>
  <si>
    <t xml:space="preserve">Segment net income incl. Life Sciences and Emerging, H1 2026</t>
  </si>
  <si>
    <t xml:space="preserve">Core net income, H1 2026</t>
  </si>
  <si>
    <t xml:space="preserve">Core EPS, H1 2026</t>
  </si>
  <si>
    <t xml:space="preserve">Q3 2026 core sales guide, low</t>
  </si>
  <si>
    <t xml:space="preserve">Release of 28 July 2026.</t>
  </si>
  <si>
    <t xml:space="preserve">Q3 2026 core sales guide, high</t>
  </si>
  <si>
    <t xml:space="preserve">Same.</t>
  </si>
  <si>
    <t xml:space="preserve">Q3 2026 core EPS guide, low</t>
  </si>
  <si>
    <t xml:space="preserve">Q3 2026 core EPS guide, high</t>
  </si>
  <si>
    <t xml:space="preserve">Enterprise Networks sales, Q2 2026</t>
  </si>
  <si>
    <t xml:space="preserve">Q2 2026 call: US$1.27bn, up 65%.</t>
  </si>
  <si>
    <t xml:space="preserve">Enterprise Networks growth, Q2 2026</t>
  </si>
  <si>
    <t xml:space="preserve">%</t>
  </si>
  <si>
    <t xml:space="preserve">Q2 2026 release and call.</t>
  </si>
  <si>
    <t xml:space="preserve">At-the-market programme, maximum</t>
  </si>
  <si>
    <t xml:space="preserve">8-K and prospectus supplement, 11 Sep 2026. Goldman Sachs; 1% commission.</t>
  </si>
  <si>
    <t xml:space="preserve">2026 capital spending outlook</t>
  </si>
  <si>
    <t xml:space="preserve">10-Q for Q2 2026: approximately US$2.0bn.</t>
  </si>
  <si>
    <t xml:space="preserve">Capital spending, H1 2026</t>
  </si>
  <si>
    <t xml:space="preserve">Adjusted free cash flow, H1 2026</t>
  </si>
  <si>
    <t xml:space="preserve">Q2 2026 release (Corning definition).</t>
  </si>
  <si>
    <t xml:space="preserve">Customer deposits and government incentives, H1 2026</t>
  </si>
  <si>
    <t xml:space="preserve">Cash flow statement line; includes the US$1.0bn deposit received in Q2.</t>
  </si>
  <si>
    <t xml:space="preserve">Dividends paid, H1 2026</t>
  </si>
  <si>
    <t xml:space="preserve">Customer deposit booked in Q2 2026</t>
  </si>
  <si>
    <t xml:space="preserve">10-Q Note 2: long-term supply agreement to 31 Dec 2029.</t>
  </si>
  <si>
    <t xml:space="preserve">Traditional warrant to a customer, grant-date fair value</t>
  </si>
  <si>
    <t xml:space="preserve">10-Q Note 12: 15m shares at US$180, consideration payable to a customer.</t>
  </si>
  <si>
    <t xml:space="preserve">Cash for the pre-funded warrant</t>
  </si>
  <si>
    <t xml:space="preserve">8-K of 6 May 2026: NVIDIA, 3m shares.</t>
  </si>
  <si>
    <t xml:space="preserve">MY ASSUMPTIONS</t>
  </si>
  <si>
    <t xml:space="preserve">Optical sales, Q3 2026</t>
  </si>
  <si>
    <t xml:space="preserve">MINE. About 7% on Q2.</t>
  </si>
  <si>
    <t xml:space="preserve">Optical sales, Q4 2026</t>
  </si>
  <si>
    <t xml:space="preserve">MINE.</t>
  </si>
  <si>
    <t xml:space="preserve">Rest of Corning sales, Q3 2026</t>
  </si>
  <si>
    <t xml:space="preserve">MINE. Q3 total 4.95 = guide midpoint.</t>
  </si>
  <si>
    <t xml:space="preserve">Rest of Corning sales, Q4 2026</t>
  </si>
  <si>
    <t xml:space="preserve">MINE. Q4 total about US$5.1bn, the US$20bn run-rate.</t>
  </si>
  <si>
    <t xml:space="preserve">Optical segment net margin, Q3 2026</t>
  </si>
  <si>
    <t xml:space="preserve">MINE. Q2 2026: 21.1%.</t>
  </si>
  <si>
    <t xml:space="preserve">Optical segment net margin, Q4 2026</t>
  </si>
  <si>
    <t xml:space="preserve">Rest of Corning segment net margin, H2 2026</t>
  </si>
  <si>
    <t xml:space="preserve">MINE. H1 2026: 15.2%; Solar profitability expected to improve from Q3.</t>
  </si>
  <si>
    <t xml:space="preserve">Core net income less segment net income, per quarter</t>
  </si>
  <si>
    <t xml:space="preserve">MINE. Q2 2026: -0.166; H1: -0.318.</t>
  </si>
  <si>
    <t xml:space="preserve">Corporate line, 2027</t>
  </si>
  <si>
    <t xml:space="preserve">Corporate line, 2028</t>
  </si>
  <si>
    <t xml:space="preserve">Share of the programme sold, 2027 average</t>
  </si>
  <si>
    <t xml:space="preserve">MINE. Sold at today's price.</t>
  </si>
  <si>
    <t xml:space="preserve">Share of the programme sold, 2028 average</t>
  </si>
  <si>
    <t xml:space="preserve">Target multiple on 2028E core EPS (base)</t>
  </si>
  <si>
    <t xml:space="preserve">MINE. Between the fibre makers' median (Peers tab) and Amphenol.</t>
  </si>
  <si>
    <t xml:space="preserve">QUARTERLY HISTORY, Q1 2024 TO Q2 2026, AND MY Q3 / Q4 2026 (CORE BASIS)</t>
  </si>
  <si>
    <t xml:space="preserve">US$ billion unless stated</t>
  </si>
  <si>
    <t xml:space="preserve">Q1 24</t>
  </si>
  <si>
    <t xml:space="preserve">Q2 24</t>
  </si>
  <si>
    <t xml:space="preserve">Q3 24</t>
  </si>
  <si>
    <t xml:space="preserve">Q4 24</t>
  </si>
  <si>
    <t xml:space="preserve">Q1 25</t>
  </si>
  <si>
    <t xml:space="preserve">Q2 25</t>
  </si>
  <si>
    <t xml:space="preserve">Q3 25</t>
  </si>
  <si>
    <t xml:space="preserve">Q4 25</t>
  </si>
  <si>
    <t xml:space="preserve">Q1 26</t>
  </si>
  <si>
    <t xml:space="preserve">Q2 26</t>
  </si>
  <si>
    <t xml:space="preserve">Q3 26E</t>
  </si>
  <si>
    <t xml:space="preserve">Q4 26E</t>
  </si>
  <si>
    <t xml:space="preserve">Optical Communications sales</t>
  </si>
  <si>
    <t xml:space="preserve">Rest of Corning sales (derived)</t>
  </si>
  <si>
    <t xml:space="preserve">Core sales</t>
  </si>
  <si>
    <t xml:space="preserve">Optical growth y/y (derived)</t>
  </si>
  <si>
    <t xml:space="preserve">Optical share of core sales (derived)</t>
  </si>
  <si>
    <t xml:space="preserve">Optical segment net income</t>
  </si>
  <si>
    <t xml:space="preserve">Optical segment net margin (derived)</t>
  </si>
  <si>
    <t xml:space="preserve">Core EPS, US$ (reported; Q3 / Q4 26 mine)</t>
  </si>
  <si>
    <t xml:space="preserve">Checks</t>
  </si>
  <si>
    <t xml:space="preserve">Trailing four quarters core EPS to Q2 26</t>
  </si>
  <si>
    <t xml:space="preserve">Q3 26 core EPS guide midpoint</t>
  </si>
  <si>
    <t xml:space="preserve">Q3 26 core sales guide midpoint</t>
  </si>
  <si>
    <t xml:space="preserve">Q4 26E annualised sales run-rate (Springboard: US$20bn by end 2026)</t>
  </si>
  <si>
    <t xml:space="preserve">Enterprise share of optical, Q2 26</t>
  </si>
  <si>
    <t xml:space="preserve">Carrier sales, Q2 26 (derived)</t>
  </si>
  <si>
    <t xml:space="preserve">Carrier sales, Q2 25 (derived)</t>
  </si>
  <si>
    <t xml:space="preserve">Source: Corning quarterly earnings releases (Exhibit 99 to Form 8-K), 30 April 2024 to 28 July 2026. Core measures are non-GAAP.</t>
  </si>
  <si>
    <t xml:space="preserve">Q3 26E and Q4 26E are my estimates; EPS = (optical net income + rest x margin + corporate line) / diluted shares.</t>
  </si>
  <si>
    <t xml:space="preserve">FINANCIAL SUMMARY AND FORECASTS (US$ billion unless stated, core basis)</t>
  </si>
  <si>
    <t xml:space="preserve">2023A</t>
  </si>
  <si>
    <t xml:space="preserve">2024A</t>
  </si>
  <si>
    <t xml:space="preserve">2025A</t>
  </si>
  <si>
    <t xml:space="preserve">2026E*</t>
  </si>
  <si>
    <t xml:space="preserve">2027E*</t>
  </si>
  <si>
    <t xml:space="preserve">2028E*</t>
  </si>
  <si>
    <t xml:space="preserve">Rest of Corning sales</t>
  </si>
  <si>
    <t xml:space="preserve">Core sales growth</t>
  </si>
  <si>
    <t xml:space="preserve">Optical share of sales</t>
  </si>
  <si>
    <t xml:space="preserve">Optical segment net margin</t>
  </si>
  <si>
    <t xml:space="preserve">Rest of Corning segment net income</t>
  </si>
  <si>
    <t xml:space="preserve">Corporate line (core net income less segments)</t>
  </si>
  <si>
    <t xml:space="preserve">Core net income</t>
  </si>
  <si>
    <t xml:space="preserve">Core net margin</t>
  </si>
  <si>
    <t xml:space="preserve">Diluted shares, bn</t>
  </si>
  <si>
    <t xml:space="preserve">Core EPS, US$</t>
  </si>
  <si>
    <t xml:space="preserve">Core EPS growth</t>
  </si>
  <si>
    <t xml:space="preserve">P/E at reference price</t>
  </si>
  <si>
    <t xml:space="preserve">Consensus core EPS, US$</t>
  </si>
  <si>
    <t xml:space="preserve">Mine against consensus</t>
  </si>
  <si>
    <t xml:space="preserve">Core operating margin (reported)</t>
  </si>
  <si>
    <t xml:space="preserve">Capital expenditures</t>
  </si>
  <si>
    <t xml:space="preserve">Adjusted free cash flow (Corning definition)</t>
  </si>
  <si>
    <t xml:space="preserve">Of which customer deposits and government incentives</t>
  </si>
  <si>
    <t xml:space="preserve">Dividends paid</t>
  </si>
  <si>
    <t xml:space="preserve">*2026E to 2028E are my own estimates. 2026E = reported H1 plus my Q3 and Q4 (Quarterly tab). 2027E and 2028E use the base case on the Scenarios tab (row 6).</t>
  </si>
  <si>
    <t xml:space="preserve">Core net income = optical segment net income + rest of Corning segment net income + corporate line. History from Corning's fourth quarter releases and Form 10-K.</t>
  </si>
  <si>
    <t xml:space="preserve">Note check: 2026E sales 19.11, EPS 3.25; 2027E 23.04, 4.37; 2028E 26.84, 5.41.</t>
  </si>
  <si>
    <t xml:space="preserve">THREE CASES, TWELVE MONTHS OUT, AND WHICH DRIVER MATTERS</t>
  </si>
  <si>
    <t xml:space="preserve">Case</t>
  </si>
  <si>
    <t xml:space="preserve">Opt g 27</t>
  </si>
  <si>
    <t xml:space="preserve">Opt g 28</t>
  </si>
  <si>
    <t xml:space="preserve">Opt m 27</t>
  </si>
  <si>
    <t xml:space="preserve">Opt m 28</t>
  </si>
  <si>
    <t xml:space="preserve">Rest g 27</t>
  </si>
  <si>
    <t xml:space="preserve">Rest g 28</t>
  </si>
  <si>
    <t xml:space="preserve">Rest m 27</t>
  </si>
  <si>
    <t xml:space="preserve">Rest m 28</t>
  </si>
  <si>
    <t xml:space="preserve">2028 optical</t>
  </si>
  <si>
    <t xml:space="preserve">2028 sales</t>
  </si>
  <si>
    <t xml:space="preserve">2028 core NI</t>
  </si>
  <si>
    <t xml:space="preserve">2028 EPS</t>
  </si>
  <si>
    <t xml:space="preserve">Multiple</t>
  </si>
  <si>
    <t xml:space="preserve">Value, US$</t>
  </si>
  <si>
    <t xml:space="preserve">vs price</t>
  </si>
  <si>
    <t xml:space="preserve">Bear</t>
  </si>
  <si>
    <t xml:space="preserve">Base</t>
  </si>
  <si>
    <t xml:space="preserve">Bull</t>
  </si>
  <si>
    <t xml:space="preserve">Probability</t>
  </si>
  <si>
    <t xml:space="preserve">must be 100%</t>
  </si>
  <si>
    <t xml:space="preserve">Which driver matters: swing one part from bear to bull, the other held at base</t>
  </si>
  <si>
    <t xml:space="preserve">Optical bear, rest base</t>
  </si>
  <si>
    <t xml:space="preserve">Optical bull, rest base</t>
  </si>
  <si>
    <t xml:space="preserve">Rest bear, optical base</t>
  </si>
  <si>
    <t xml:space="preserve">Rest bull, optical base</t>
  </si>
  <si>
    <t xml:space="preserve">2028 EPS swing from optical, US$</t>
  </si>
  <si>
    <t xml:space="preserve">2028 EPS swing from the rest of Corning, US$</t>
  </si>
  <si>
    <t xml:space="preserve">Ratio, optical to rest</t>
  </si>
  <si>
    <t xml:space="preserve">All cases start from my 2026E and use 2028 diluted shares from the Financials tab. Margins are segment net margins.</t>
  </si>
  <si>
    <t xml:space="preserve">Bear: new fibre capacity (Corning's and China's) catches up, prices and margins slip. Bull: the new plants fill early at rising margins.</t>
  </si>
  <si>
    <t xml:space="preserve">The base row (6) drives the Financials tab for 2027E and 2028E.</t>
  </si>
  <si>
    <t xml:space="preserve">VALUATION: 27x 2028E CORE EPS, TWELVE MONTHS OUT</t>
  </si>
  <si>
    <t xml:space="preserve">Line</t>
  </si>
  <si>
    <t xml:space="preserve">Working / note</t>
  </si>
  <si>
    <t xml:space="preserve">2028E core EPS, US$</t>
  </si>
  <si>
    <t xml:space="preserve">The market will be pricing 2028 by October 2027.</t>
  </si>
  <si>
    <t xml:space="preserve">Base multiple, x</t>
  </si>
  <si>
    <t xml:space="preserve">Assumptions tab.</t>
  </si>
  <si>
    <t xml:space="preserve">Base-case value per share, US$</t>
  </si>
  <si>
    <t xml:space="preserve">EPS x multiple.</t>
  </si>
  <si>
    <t xml:space="preserve">Within +/- 15%: no call on value alone.</t>
  </si>
  <si>
    <t xml:space="preserve">Scenarios tab.</t>
  </si>
  <si>
    <t xml:space="preserve">CALL</t>
  </si>
  <si>
    <t xml:space="preserve">Rule of thumb: 15% either side of the price. Conviction is judgement. Tommy Lau's call, 6 Oct 2026.</t>
  </si>
  <si>
    <t xml:space="preserve">Market value on shares outstanding, US$bn</t>
  </si>
  <si>
    <t xml:space="preserve">Net debt, US$bn</t>
  </si>
  <si>
    <t xml:space="preserve">30 June 2026.</t>
  </si>
  <si>
    <t xml:space="preserve">Enterprise value, US$bn</t>
  </si>
  <si>
    <t xml:space="preserve">Dividend yield</t>
  </si>
  <si>
    <t xml:space="preserve">US$1.12 a year.</t>
  </si>
  <si>
    <t xml:space="preserve">Change since 30 Sep 2025</t>
  </si>
  <si>
    <t xml:space="preserve">Price below the 52-week high</t>
  </si>
  <si>
    <t xml:space="preserve">P/E on my 2026E</t>
  </si>
  <si>
    <t xml:space="preserve">P/E on my 2027E</t>
  </si>
  <si>
    <t xml:space="preserve">P/E on my 2028E</t>
  </si>
  <si>
    <t xml:space="preserve">P/E on the 2027 consensus</t>
  </si>
  <si>
    <t xml:space="preserve">Nasdaq.com (Zacks) US$4.29.</t>
  </si>
  <si>
    <t xml:space="preserve">P/E on trailing four quarters core EPS</t>
  </si>
  <si>
    <t xml:space="preserve">GAAP trailing: 73.5x (stockanalysis.com).</t>
  </si>
  <si>
    <t xml:space="preserve">End-2024 price on 2025 core EPS, in hindsight</t>
  </si>
  <si>
    <t xml:space="preserve">What the market paid for Corning before the re-rating.</t>
  </si>
  <si>
    <t xml:space="preserve">2028 EPS the price needs at the base multiple, US$</t>
  </si>
  <si>
    <t xml:space="preserve">What the market prices in.</t>
  </si>
  <si>
    <t xml:space="preserve">2028 optical net income that needs, rest at base, US$bn</t>
  </si>
  <si>
    <t xml:space="preserve">2028 optical sales that needs at the base margin, US$bn</t>
  </si>
  <si>
    <t xml:space="preserve">Against my US$14.34bn.</t>
  </si>
  <si>
    <t xml:space="preserve">That against 2025 optical sales</t>
  </si>
  <si>
    <t xml:space="preserve">2025: US$6.27bn.</t>
  </si>
  <si>
    <t xml:space="preserve">Implied optical growth a year, 2026E to 2028</t>
  </si>
  <si>
    <t xml:space="preserve">Price that puts the base case 15% above</t>
  </si>
  <si>
    <t xml:space="preserve">The 'revisit below about US$127' line.</t>
  </si>
  <si>
    <t xml:space="preserve">WHY A SOLD-OUT BUSINESS SET UP A US$2BN SHARE SALE: THE CASH ARITHMETIC</t>
  </si>
  <si>
    <t xml:space="preserve">Capital spending, 2025</t>
  </si>
  <si>
    <t xml:space="preserve">Corning Q4 2025 release.</t>
  </si>
  <si>
    <t xml:space="preserve">Capital spending, 2026 outlook</t>
  </si>
  <si>
    <t xml:space="preserve">10-Q: approximately US$2.0bn.</t>
  </si>
  <si>
    <t xml:space="preserve">Step-up, 2026 on 2025</t>
  </si>
  <si>
    <t xml:space="preserve">Implied capital spending, H2 2026</t>
  </si>
  <si>
    <t xml:space="preserve">Second half spends more than the first.</t>
  </si>
  <si>
    <t xml:space="preserve">Less customer deposits and government incentives, H1 2026</t>
  </si>
  <si>
    <t xml:space="preserve">Includes the US$1.0bn deposit received in Q2.</t>
  </si>
  <si>
    <t xml:space="preserve">Adjusted free cash flow without them, H1 2026</t>
  </si>
  <si>
    <t xml:space="preserve">Plus an undrawn US$1.5bn revolving credit facility.</t>
  </si>
  <si>
    <t xml:space="preserve">At-the-market programme, maximum, US$bn</t>
  </si>
  <si>
    <t xml:space="preserve">11 Sep 2026.</t>
  </si>
  <si>
    <t xml:space="preserve">Shares if fully sold at the reference price, bn</t>
  </si>
  <si>
    <t xml:space="preserve">Dilution against shares outstanding</t>
  </si>
  <si>
    <t xml:space="preserve">Share price change, 11 to 14 Sep 2026</t>
  </si>
  <si>
    <t xml:space="preserve">Customer deposit booked in Q2 2026, US$bn</t>
  </si>
  <si>
    <t xml:space="preserve">Long-term supply agreement to 31 Dec 2029.</t>
  </si>
  <si>
    <t xml:space="preserve">Warrant to the same customer, fair value, US$bn</t>
  </si>
  <si>
    <t xml:space="preserve">Comes off revenue as Corning delivers.</t>
  </si>
  <si>
    <t xml:space="preserve">Warrant value per dollar of deposit</t>
  </si>
  <si>
    <t xml:space="preserve">About 30 cents.</t>
  </si>
  <si>
    <t xml:space="preserve">Corning has not said why it set up the programme; the prospectus gives general corporate purposes, including capital spending, debt repayment and buybacks.</t>
  </si>
  <si>
    <t xml:space="preserve">Also relevant: Samsung Display holds 58m Corning shares under a lock-up expiring in 2027, and can offer 22m more to Corning in tranches through 2027 (10-K, 10-Q).</t>
  </si>
  <si>
    <t xml:space="preserve">VALUE PER SHARE: 2028E CORE EPS AGAINST MULTIPLE (US$)</t>
  </si>
  <si>
    <t xml:space="preserve">2028 EPS \ multiple</t>
  </si>
  <si>
    <t xml:space="preserve">Cells above the reference price</t>
  </si>
  <si>
    <t xml:space="preserve">of 9</t>
  </si>
  <si>
    <t xml:space="preserve">Middle row links to the model's 2028E EPS and the middle column to the base multiple.</t>
  </si>
  <si>
    <t xml:space="preserve">PEER MULTIPLES (FORWARD P/E, stockanalysis.com, 6 OCTOBER 2026)</t>
  </si>
  <si>
    <t xml:space="preserve">Company</t>
  </si>
  <si>
    <t xml:space="preserve">Ticker</t>
  </si>
  <si>
    <t xml:space="preserve">Forward P/E</t>
  </si>
  <si>
    <t xml:space="preserve">What they make</t>
  </si>
  <si>
    <t xml:space="preserve">Corning</t>
  </si>
  <si>
    <t xml:space="preserve">NYSE: GLW</t>
  </si>
  <si>
    <t xml:space="preserve">Optical fibre, cable and connectivity, plus display, phone, car and solar materials</t>
  </si>
  <si>
    <t xml:space="preserve">Prysmian</t>
  </si>
  <si>
    <t xml:space="preserve">Milan: PRY</t>
  </si>
  <si>
    <t xml:space="preserve">Power and telecom cable, including optical fibre and cable</t>
  </si>
  <si>
    <t xml:space="preserve">Fujikura</t>
  </si>
  <si>
    <t xml:space="preserve">Tokyo: 5803</t>
  </si>
  <si>
    <t xml:space="preserve">Optical fibre, high-count cable and connectors</t>
  </si>
  <si>
    <t xml:space="preserve">Sumitomo Electric</t>
  </si>
  <si>
    <t xml:space="preserve">Tokyo: 5802</t>
  </si>
  <si>
    <t xml:space="preserve">Wire, cable and optical fibre, plus car wiring</t>
  </si>
  <si>
    <t xml:space="preserve">Amphenol</t>
  </si>
  <si>
    <t xml:space="preserve">NYSE: APH</t>
  </si>
  <si>
    <t xml:space="preserve">Connectors and cable assemblies, including for AI racks</t>
  </si>
  <si>
    <t xml:space="preserve">Ciena</t>
  </si>
  <si>
    <t xml:space="preserve">NYSE: CIEN</t>
  </si>
  <si>
    <t xml:space="preserve">Optical networking systems</t>
  </si>
  <si>
    <t xml:space="preserve">Coherent</t>
  </si>
  <si>
    <t xml:space="preserve">NYSE: COHR</t>
  </si>
  <si>
    <t xml:space="preserve">Optical transceivers, lasers and materials</t>
  </si>
  <si>
    <t xml:space="preserve">Lumentum</t>
  </si>
  <si>
    <t xml:space="preserve">Nasdaq: LITE</t>
  </si>
  <si>
    <t xml:space="preserve">Lasers and optical transceivers</t>
  </si>
  <si>
    <t xml:space="preserve">Median, fibre and cable makers (Prysmian, Fujikura, Sumitomo Electric)</t>
  </si>
  <si>
    <t xml:space="preserve">Median, all seven peers</t>
  </si>
  <si>
    <t xml:space="preserve">Prysmian, Fujikura and Sumitomo Electric multiples are on their local listings. Multiples only, to set the base multiple.</t>
  </si>
  <si>
    <t xml:space="preserve">No view on the peers' shares is expressed.</t>
  </si>
  <si>
    <t xml:space="preserve">SOURCES</t>
  </si>
  <si>
    <t xml:space="preserve">No.</t>
  </si>
  <si>
    <t xml:space="preserve">Source and what it supports</t>
  </si>
  <si>
    <t xml:space="preserve">Corning quarterly earnings releases (Exhibit 99 to Form 8-K), 30 April 2024 to 28 July 2026: core sales, core EPS, segment sales and net income, margins, cash flow, capital spending, adjusted free cash flow, Q3 2026 guide.</t>
  </si>
  <si>
    <t xml:space="preserve">Corning Form 10-K for 2025, filed 12 February 2026: segment sales, enterprise and carrier network sales, optical at 38% of segment sales, two end customers at 28% of optical sales, the Samsung Display share repurchase agreement.</t>
  </si>
  <si>
    <t xml:space="preserve">Corning Form 10-Q for Q2 2026, filed 29 July 2026: US$1.0bn customer deposit to 31 Dec 2029, warrant accounting (US$296m), contract liabilities, liquidity, credit facility, leverage covenant, 2026 capital spending of about US$2.0bn.</t>
  </si>
  <si>
    <t xml:space="preserve">Corning 8-K and press release of 6 May 2026: NVIDIA partnership, three new plants, 10x US connectivity capacity; pre-funded warrant (3m shares, US$500m) and traditional warrant (15m shares at US$180).</t>
  </si>
  <si>
    <t xml:space="preserve">Corning 8-K and prospectus supplement of 11 September 2026: US$2bn at-the-market programme with Goldman Sachs; use of proceeds; 861,388,331 shares outstanding at 24 July 2026.</t>
  </si>
  <si>
    <t xml:space="preserve">Corning Q2 2026 earnings call of 28 July 2026 (Investing.com transcript summary): Enterprise Networks US$1.27bn, capacity commentary, long-term contracts, second-half capital spending.</t>
  </si>
  <si>
    <t xml:space="preserve">Meta (27 January 2026), Amazon (8 June 2026) and Verizon (8 September 2026) agreement announcements; Corning Q1 2026 release (two further hyperscale agreements).</t>
  </si>
  <si>
    <t xml:space="preserve">Corning investor relations events feed: Q3 2026 results call on Tuesday 27 October 2026, 8:30am ET.</t>
  </si>
  <si>
    <t xml:space="preserve">Yahoo Finance chart API, retrieved 6 October 2026: month-end closes, the 5 October close, 52-week range. stockanalysis.com daily history for 11 and 14 September 2026.</t>
  </si>
  <si>
    <t xml:space="preserve">Nasdaq.com earnings forecast (Zacks), retrieved 6 October 2026: consensus core EPS 2026 to 2028. stockanalysis.com: forward and trailing P/E, average target, peer multiples.</t>
  </si>
  <si>
    <t xml:space="preserve">The Physical Layer, 'Corning makes the glass AI chips talk through', 1 October 2026: https://thephysicallayer.fyi/journal/corning-lays-the-glass/</t>
  </si>
  <si>
    <t xml:space="preserve">Estimates for 2026 to 2028 are the author's own. Personal research, not investment advice. I hold no position in Corning.</t>
  </si>
</sst>
</file>

<file path=xl/styles.xml><?xml version="1.0" encoding="utf-8"?>
<styleSheet xmlns="http://schemas.openxmlformats.org/spreadsheetml/2006/main">
  <numFmts count="12">
    <numFmt numFmtId="164" formatCode="General"/>
    <numFmt numFmtId="165" formatCode="&quot;US$&quot;#,##0.00"/>
    <numFmt numFmtId="166" formatCode="0.0%"/>
    <numFmt numFmtId="167" formatCode="#,##0.000"/>
    <numFmt numFmtId="168" formatCode="0\x"/>
    <numFmt numFmtId="169" formatCode="#,##0.00"/>
    <numFmt numFmtId="170" formatCode="#,##0.0"/>
    <numFmt numFmtId="171" formatCode="0.0\x"/>
    <numFmt numFmtId="172" formatCode="0%"/>
    <numFmt numFmtId="173" formatCode="0.00%"/>
    <numFmt numFmtId="174" formatCode="0.00\x"/>
    <numFmt numFmtId="175" formatCode="&quot;US$&quot;#,##0"/>
  </numFmts>
  <fonts count="1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1F3864"/>
      <name val="Cambria"/>
      <family val="0"/>
      <charset val="1"/>
    </font>
    <font>
      <sz val="9"/>
      <color rgb="FF595959"/>
      <name val="Cambria"/>
      <family val="0"/>
      <charset val="1"/>
    </font>
    <font>
      <b val="true"/>
      <sz val="10"/>
      <color rgb="FFFFFFFF"/>
      <name val="Cambria"/>
      <family val="0"/>
      <charset val="1"/>
    </font>
    <font>
      <b val="true"/>
      <sz val="11"/>
      <name val="Cambria"/>
      <family val="0"/>
      <charset val="1"/>
    </font>
    <font>
      <sz val="11"/>
      <color rgb="FF008000"/>
      <name val="Cambria"/>
      <family val="0"/>
      <charset val="1"/>
    </font>
    <font>
      <sz val="11"/>
      <color rgb="FF0000FF"/>
      <name val="Cambria"/>
      <family val="0"/>
      <charset val="1"/>
    </font>
    <font>
      <b val="true"/>
      <sz val="11"/>
      <color rgb="FF1F3864"/>
      <name val="Cambria"/>
      <family val="0"/>
      <charset val="1"/>
    </font>
    <font>
      <i val="true"/>
      <sz val="9"/>
      <color rgb="FF595959"/>
      <name val="Cambria"/>
      <family val="0"/>
      <charset val="1"/>
    </font>
    <font>
      <b val="true"/>
      <sz val="11"/>
      <color rgb="FF0000FF"/>
      <name val="Cambria"/>
      <family val="0"/>
      <charset val="1"/>
    </font>
    <font>
      <sz val="11"/>
      <name val="Cambria"/>
      <family val="0"/>
      <charset val="1"/>
    </font>
    <font>
      <b val="true"/>
      <sz val="11"/>
      <color rgb="FFFFFFFF"/>
      <name val="Cambria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FFF00"/>
        <bgColor rgb="FFFFFF00"/>
      </patternFill>
    </fill>
    <fill>
      <patternFill patternType="solid">
        <fgColor rgb="FFD9E2F3"/>
        <bgColor rgb="FFCCFFFF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right" vertical="bottom" textRotation="0" wrapText="false" indent="0" shrinkToFit="false"/>
      <protection locked="true" hidden="false"/>
    </xf>
    <xf numFmtId="169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7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1" fontId="8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6" fontId="9" fillId="0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72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2" fontId="12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3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14" fillId="2" borderId="0" xfId="0" applyFont="true" applyBorder="false" applyAlignment="true" applyProtection="false">
      <alignment horizontal="right" vertical="bottom" textRotation="0" wrapText="false" indent="0" shrinkToFit="false"/>
      <protection locked="true" hidden="false"/>
    </xf>
    <xf numFmtId="165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5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9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E2F3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8"/>
    <col collapsed="false" customWidth="true" hidden="false" outlineLevel="0" max="2" min="2" style="0" width="24"/>
    <col collapsed="false" customWidth="true" hidden="false" outlineLevel="0" max="3" min="3" style="0" width="80"/>
  </cols>
  <sheetData>
    <row r="1" customFormat="false" ht="1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  <c r="C4" s="4" t="s">
        <v>4</v>
      </c>
    </row>
    <row r="5" customFormat="false" ht="15" hidden="false" customHeight="false" outlineLevel="0" collapsed="false">
      <c r="A5" s="5" t="s">
        <v>5</v>
      </c>
      <c r="B5" s="6" t="str">
        <f aca="false">Valuation!$B$11</f>
        <v>NO CALL</v>
      </c>
      <c r="C5" s="7" t="s">
        <v>6</v>
      </c>
    </row>
    <row r="6" customFormat="false" ht="15" hidden="false" customHeight="false" outlineLevel="0" collapsed="false">
      <c r="A6" s="5" t="s">
        <v>7</v>
      </c>
      <c r="B6" s="8" t="s">
        <v>8</v>
      </c>
      <c r="C6" s="7" t="s">
        <v>9</v>
      </c>
    </row>
    <row r="7" customFormat="false" ht="15" hidden="false" customHeight="false" outlineLevel="0" collapsed="false">
      <c r="A7" s="5" t="s">
        <v>10</v>
      </c>
      <c r="B7" s="9" t="n">
        <f aca="false">Assumptions!$B$7</f>
        <v>159.37</v>
      </c>
      <c r="C7" s="7" t="s">
        <v>11</v>
      </c>
    </row>
    <row r="8" customFormat="false" ht="15" hidden="false" customHeight="false" outlineLevel="0" collapsed="false">
      <c r="A8" s="5" t="s">
        <v>12</v>
      </c>
      <c r="B8" s="9" t="n">
        <f aca="false">Valuation!$B$7</f>
        <v>146.202754543376</v>
      </c>
      <c r="C8" s="7" t="s">
        <v>13</v>
      </c>
    </row>
    <row r="9" customFormat="false" ht="15" hidden="false" customHeight="false" outlineLevel="0" collapsed="false">
      <c r="A9" s="5" t="s">
        <v>14</v>
      </c>
      <c r="B9" s="10" t="n">
        <f aca="false">Valuation!$B$9</f>
        <v>-0.0826206027271359</v>
      </c>
      <c r="C9" s="7"/>
    </row>
    <row r="10" customFormat="false" ht="15" hidden="false" customHeight="false" outlineLevel="0" collapsed="false">
      <c r="A10" s="5" t="s">
        <v>15</v>
      </c>
      <c r="B10" s="9" t="n">
        <f aca="false">Valuation!$B$10</f>
        <v>149.483829012372</v>
      </c>
      <c r="C10" s="7" t="s">
        <v>16</v>
      </c>
    </row>
    <row r="11" customFormat="false" ht="15" hidden="false" customHeight="false" outlineLevel="0" collapsed="false">
      <c r="A11" s="5" t="s">
        <v>17</v>
      </c>
      <c r="B11" s="6" t="str">
        <f aca="false">TEXT(Financials!E17,"0.00")&amp;" / "&amp;TEXT(Financials!F17,"0.00")&amp;" / "&amp;TEXT(Financials!G17,"0.00")</f>
        <v>3.25 / 4.37 / 5.41</v>
      </c>
      <c r="C11" s="7" t="s">
        <v>18</v>
      </c>
    </row>
    <row r="12" customFormat="false" ht="15" hidden="false" customHeight="false" outlineLevel="0" collapsed="false">
      <c r="A12" s="5" t="s">
        <v>19</v>
      </c>
      <c r="B12" s="8" t="s">
        <v>20</v>
      </c>
      <c r="C12" s="7"/>
    </row>
    <row r="13" customFormat="false" ht="23.85" hidden="false" customHeight="false" outlineLevel="0" collapsed="false">
      <c r="A13" s="5" t="s">
        <v>21</v>
      </c>
      <c r="B13" s="8" t="s">
        <v>22</v>
      </c>
      <c r="C13" s="7" t="s">
        <v>23</v>
      </c>
    </row>
    <row r="14" customFormat="false" ht="23.85" hidden="false" customHeight="false" outlineLevel="0" collapsed="false">
      <c r="A14" s="5" t="s">
        <v>24</v>
      </c>
      <c r="B14" s="8" t="s">
        <v>22</v>
      </c>
      <c r="C14" s="7" t="s">
        <v>25</v>
      </c>
    </row>
    <row r="17" customFormat="false" ht="15" hidden="false" customHeight="false" outlineLevel="0" collapsed="false">
      <c r="A17" s="11" t="s">
        <v>26</v>
      </c>
    </row>
    <row r="18" customFormat="false" ht="15" hidden="false" customHeight="false" outlineLevel="0" collapsed="false">
      <c r="A18" s="0" t="s">
        <v>27</v>
      </c>
      <c r="B18" s="0" t="s">
        <v>28</v>
      </c>
    </row>
    <row r="19" customFormat="false" ht="15" hidden="false" customHeight="false" outlineLevel="0" collapsed="false">
      <c r="A19" s="0" t="s">
        <v>29</v>
      </c>
      <c r="B19" s="0" t="s">
        <v>30</v>
      </c>
    </row>
    <row r="20" customFormat="false" ht="15" hidden="false" customHeight="false" outlineLevel="0" collapsed="false">
      <c r="A20" s="0" t="s">
        <v>31</v>
      </c>
      <c r="B20" s="0" t="s">
        <v>32</v>
      </c>
    </row>
    <row r="21" customFormat="false" ht="15" hidden="false" customHeight="false" outlineLevel="0" collapsed="false">
      <c r="A21" s="0" t="s">
        <v>33</v>
      </c>
      <c r="B21" s="0" t="s">
        <v>34</v>
      </c>
    </row>
    <row r="22" customFormat="false" ht="15" hidden="false" customHeight="false" outlineLevel="0" collapsed="false">
      <c r="A22" s="0" t="s">
        <v>35</v>
      </c>
      <c r="B22" s="0" t="s">
        <v>36</v>
      </c>
    </row>
    <row r="23" customFormat="false" ht="15" hidden="false" customHeight="false" outlineLevel="0" collapsed="false">
      <c r="A23" s="0" t="s">
        <v>37</v>
      </c>
      <c r="B23" s="0" t="s">
        <v>38</v>
      </c>
    </row>
    <row r="24" customFormat="false" ht="15" hidden="false" customHeight="false" outlineLevel="0" collapsed="false">
      <c r="A24" s="0" t="s">
        <v>39</v>
      </c>
      <c r="B24" s="0" t="s">
        <v>40</v>
      </c>
    </row>
    <row r="25" customFormat="false" ht="15" hidden="false" customHeight="false" outlineLevel="0" collapsed="false">
      <c r="A25" s="0" t="s">
        <v>41</v>
      </c>
      <c r="B25" s="0" t="s">
        <v>42</v>
      </c>
    </row>
    <row r="26" customFormat="false" ht="15" hidden="false" customHeight="false" outlineLevel="0" collapsed="false">
      <c r="A26" s="0" t="s">
        <v>43</v>
      </c>
      <c r="B26" s="0" t="s">
        <v>44</v>
      </c>
    </row>
    <row r="28" customFormat="false" ht="15" hidden="false" customHeight="false" outlineLevel="0" collapsed="false">
      <c r="A28" s="12" t="s">
        <v>45</v>
      </c>
    </row>
    <row r="29" customFormat="false" ht="15" hidden="false" customHeight="false" outlineLevel="0" collapsed="false">
      <c r="A29" s="12" t="s">
        <v>46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2"/>
    <col collapsed="false" customWidth="true" hidden="false" outlineLevel="0" max="2" min="2" style="0" width="14"/>
    <col collapsed="false" customWidth="true" hidden="false" outlineLevel="0" max="3" min="3" style="0" width="10"/>
    <col collapsed="false" customWidth="true" hidden="false" outlineLevel="0" max="4" min="4" style="0" width="92"/>
  </cols>
  <sheetData>
    <row r="1" customFormat="false" ht="15" hidden="false" customHeight="false" outlineLevel="0" collapsed="false">
      <c r="A1" s="1" t="s">
        <v>47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12" t="s">
        <v>48</v>
      </c>
    </row>
    <row r="5" customFormat="false" ht="15" hidden="false" customHeight="false" outlineLevel="0" collapsed="false">
      <c r="A5" s="3" t="s">
        <v>49</v>
      </c>
      <c r="B5" s="4" t="s">
        <v>3</v>
      </c>
      <c r="C5" s="4" t="s">
        <v>50</v>
      </c>
      <c r="D5" s="4" t="s">
        <v>51</v>
      </c>
    </row>
    <row r="6" customFormat="false" ht="15" hidden="false" customHeight="false" outlineLevel="0" collapsed="false">
      <c r="A6" s="11" t="s">
        <v>52</v>
      </c>
    </row>
    <row r="7" customFormat="false" ht="15" hidden="false" customHeight="false" outlineLevel="0" collapsed="false">
      <c r="A7" s="0" t="s">
        <v>53</v>
      </c>
      <c r="B7" s="13" t="n">
        <v>159.37</v>
      </c>
      <c r="C7" s="0" t="s">
        <v>54</v>
      </c>
      <c r="D7" s="7" t="s">
        <v>55</v>
      </c>
    </row>
    <row r="8" customFormat="false" ht="15" hidden="false" customHeight="false" outlineLevel="0" collapsed="false">
      <c r="A8" s="0" t="s">
        <v>56</v>
      </c>
      <c r="B8" s="13" t="n">
        <v>271.78</v>
      </c>
      <c r="C8" s="0" t="s">
        <v>54</v>
      </c>
      <c r="D8" s="7" t="s">
        <v>57</v>
      </c>
    </row>
    <row r="9" customFormat="false" ht="15" hidden="false" customHeight="false" outlineLevel="0" collapsed="false">
      <c r="A9" s="0" t="s">
        <v>58</v>
      </c>
      <c r="B9" s="13" t="n">
        <v>82.03</v>
      </c>
      <c r="C9" s="0" t="s">
        <v>54</v>
      </c>
      <c r="D9" s="7" t="s">
        <v>57</v>
      </c>
    </row>
    <row r="10" customFormat="false" ht="15" hidden="false" customHeight="false" outlineLevel="0" collapsed="false">
      <c r="A10" s="0" t="s">
        <v>59</v>
      </c>
      <c r="B10" s="13" t="n">
        <v>47.52</v>
      </c>
      <c r="C10" s="0" t="s">
        <v>54</v>
      </c>
      <c r="D10" s="7" t="s">
        <v>57</v>
      </c>
    </row>
    <row r="11" customFormat="false" ht="15" hidden="false" customHeight="false" outlineLevel="0" collapsed="false">
      <c r="A11" s="0" t="s">
        <v>60</v>
      </c>
      <c r="B11" s="13" t="n">
        <v>166.4</v>
      </c>
      <c r="C11" s="0" t="s">
        <v>54</v>
      </c>
      <c r="D11" s="7" t="s">
        <v>61</v>
      </c>
    </row>
    <row r="12" customFormat="false" ht="15" hidden="false" customHeight="false" outlineLevel="0" collapsed="false">
      <c r="A12" s="0" t="s">
        <v>62</v>
      </c>
      <c r="B12" s="13" t="n">
        <v>143.6</v>
      </c>
      <c r="C12" s="0" t="s">
        <v>54</v>
      </c>
      <c r="D12" s="7" t="s">
        <v>63</v>
      </c>
    </row>
    <row r="13" customFormat="false" ht="15" hidden="false" customHeight="false" outlineLevel="0" collapsed="false">
      <c r="A13" s="0" t="s">
        <v>64</v>
      </c>
      <c r="B13" s="13" t="n">
        <v>0.861388</v>
      </c>
      <c r="C13" s="0" t="s">
        <v>65</v>
      </c>
      <c r="D13" s="7" t="s">
        <v>66</v>
      </c>
    </row>
    <row r="14" customFormat="false" ht="15" hidden="false" customHeight="false" outlineLevel="0" collapsed="false">
      <c r="A14" s="0" t="s">
        <v>67</v>
      </c>
      <c r="B14" s="13" t="n">
        <v>0.875</v>
      </c>
      <c r="C14" s="0" t="s">
        <v>65</v>
      </c>
      <c r="D14" s="7" t="s">
        <v>68</v>
      </c>
    </row>
    <row r="15" customFormat="false" ht="15" hidden="false" customHeight="false" outlineLevel="0" collapsed="false">
      <c r="A15" s="0" t="s">
        <v>69</v>
      </c>
      <c r="B15" s="13" t="n">
        <v>2.504</v>
      </c>
      <c r="C15" s="0" t="s">
        <v>70</v>
      </c>
      <c r="D15" s="7" t="s">
        <v>71</v>
      </c>
    </row>
    <row r="16" customFormat="false" ht="15" hidden="false" customHeight="false" outlineLevel="0" collapsed="false">
      <c r="A16" s="0" t="s">
        <v>72</v>
      </c>
      <c r="B16" s="13" t="n">
        <v>8.424</v>
      </c>
      <c r="C16" s="0" t="s">
        <v>70</v>
      </c>
      <c r="D16" s="7" t="s">
        <v>73</v>
      </c>
    </row>
    <row r="17" customFormat="false" ht="15" hidden="false" customHeight="false" outlineLevel="0" collapsed="false">
      <c r="A17" s="0" t="s">
        <v>74</v>
      </c>
      <c r="B17" s="13" t="n">
        <v>0.668</v>
      </c>
      <c r="C17" s="0" t="s">
        <v>70</v>
      </c>
      <c r="D17" s="7" t="s">
        <v>75</v>
      </c>
    </row>
    <row r="18" customFormat="false" ht="15" hidden="false" customHeight="false" outlineLevel="0" collapsed="false">
      <c r="A18" s="0" t="s">
        <v>76</v>
      </c>
      <c r="B18" s="13" t="n">
        <v>0.28</v>
      </c>
      <c r="C18" s="0" t="s">
        <v>54</v>
      </c>
      <c r="D18" s="7" t="s">
        <v>77</v>
      </c>
    </row>
    <row r="19" customFormat="false" ht="15" hidden="false" customHeight="false" outlineLevel="0" collapsed="false">
      <c r="A19" s="0" t="s">
        <v>78</v>
      </c>
      <c r="B19" s="13" t="n">
        <v>3.28</v>
      </c>
      <c r="C19" s="0" t="s">
        <v>54</v>
      </c>
      <c r="D19" s="7" t="s">
        <v>79</v>
      </c>
    </row>
    <row r="20" customFormat="false" ht="15" hidden="false" customHeight="false" outlineLevel="0" collapsed="false">
      <c r="A20" s="0" t="s">
        <v>80</v>
      </c>
      <c r="B20" s="13" t="n">
        <v>4.29</v>
      </c>
      <c r="C20" s="0" t="s">
        <v>54</v>
      </c>
      <c r="D20" s="7" t="s">
        <v>81</v>
      </c>
    </row>
    <row r="21" customFormat="false" ht="15" hidden="false" customHeight="false" outlineLevel="0" collapsed="false">
      <c r="A21" s="0" t="s">
        <v>82</v>
      </c>
      <c r="B21" s="13" t="n">
        <v>5.64</v>
      </c>
      <c r="C21" s="0" t="s">
        <v>54</v>
      </c>
      <c r="D21" s="7" t="s">
        <v>83</v>
      </c>
    </row>
    <row r="22" customFormat="false" ht="15" hidden="false" customHeight="false" outlineLevel="0" collapsed="false">
      <c r="A22" s="0" t="s">
        <v>84</v>
      </c>
      <c r="B22" s="14" t="n">
        <v>43.03</v>
      </c>
      <c r="C22" s="0" t="s">
        <v>85</v>
      </c>
      <c r="D22" s="7" t="s">
        <v>86</v>
      </c>
    </row>
    <row r="23" customFormat="false" ht="15" hidden="false" customHeight="false" outlineLevel="0" collapsed="false">
      <c r="A23" s="0" t="s">
        <v>87</v>
      </c>
      <c r="B23" s="14" t="n">
        <v>73.52</v>
      </c>
      <c r="C23" s="0" t="s">
        <v>85</v>
      </c>
      <c r="D23" s="7" t="s">
        <v>86</v>
      </c>
    </row>
    <row r="24" customFormat="false" ht="15" hidden="false" customHeight="false" outlineLevel="0" collapsed="false">
      <c r="A24" s="0" t="s">
        <v>88</v>
      </c>
      <c r="B24" s="13" t="n">
        <v>189.94</v>
      </c>
      <c r="C24" s="0" t="s">
        <v>54</v>
      </c>
      <c r="D24" s="7" t="s">
        <v>89</v>
      </c>
    </row>
    <row r="25" customFormat="false" ht="15" hidden="false" customHeight="false" outlineLevel="0" collapsed="false">
      <c r="A25" s="11" t="s">
        <v>90</v>
      </c>
    </row>
    <row r="26" customFormat="false" ht="15" hidden="false" customHeight="false" outlineLevel="0" collapsed="false">
      <c r="A26" s="0" t="s">
        <v>91</v>
      </c>
      <c r="B26" s="13" t="n">
        <v>9.083</v>
      </c>
      <c r="C26" s="0" t="s">
        <v>70</v>
      </c>
      <c r="D26" s="7" t="s">
        <v>92</v>
      </c>
    </row>
    <row r="27" customFormat="false" ht="15" hidden="false" customHeight="false" outlineLevel="0" collapsed="false">
      <c r="A27" s="0" t="s">
        <v>93</v>
      </c>
      <c r="B27" s="13" t="n">
        <v>3.918</v>
      </c>
      <c r="C27" s="0" t="s">
        <v>70</v>
      </c>
      <c r="D27" s="7" t="s">
        <v>94</v>
      </c>
    </row>
    <row r="28" customFormat="false" ht="15" hidden="false" customHeight="false" outlineLevel="0" collapsed="false">
      <c r="A28" s="0" t="s">
        <v>95</v>
      </c>
      <c r="B28" s="13" t="n">
        <v>0.825</v>
      </c>
      <c r="C28" s="0" t="s">
        <v>70</v>
      </c>
      <c r="D28" s="7" t="s">
        <v>94</v>
      </c>
    </row>
    <row r="29" customFormat="false" ht="15" hidden="false" customHeight="false" outlineLevel="0" collapsed="false">
      <c r="A29" s="0" t="s">
        <v>96</v>
      </c>
      <c r="B29" s="13" t="n">
        <v>1.61</v>
      </c>
      <c r="C29" s="0" t="s">
        <v>70</v>
      </c>
      <c r="D29" s="7" t="s">
        <v>94</v>
      </c>
    </row>
    <row r="30" customFormat="false" ht="15" hidden="false" customHeight="false" outlineLevel="0" collapsed="false">
      <c r="A30" s="0" t="s">
        <v>97</v>
      </c>
      <c r="B30" s="13" t="n">
        <v>1.292</v>
      </c>
      <c r="C30" s="0" t="s">
        <v>70</v>
      </c>
      <c r="D30" s="7" t="s">
        <v>71</v>
      </c>
    </row>
    <row r="31" customFormat="false" ht="15" hidden="false" customHeight="false" outlineLevel="0" collapsed="false">
      <c r="A31" s="0" t="s">
        <v>98</v>
      </c>
      <c r="B31" s="13" t="n">
        <v>1.47</v>
      </c>
      <c r="C31" s="0" t="s">
        <v>54</v>
      </c>
      <c r="D31" s="7" t="s">
        <v>71</v>
      </c>
    </row>
    <row r="32" customFormat="false" ht="15" hidden="false" customHeight="false" outlineLevel="0" collapsed="false">
      <c r="A32" s="0" t="s">
        <v>99</v>
      </c>
      <c r="B32" s="13" t="n">
        <v>4.9</v>
      </c>
      <c r="C32" s="0" t="s">
        <v>70</v>
      </c>
      <c r="D32" s="7" t="s">
        <v>100</v>
      </c>
    </row>
    <row r="33" customFormat="false" ht="15" hidden="false" customHeight="false" outlineLevel="0" collapsed="false">
      <c r="A33" s="0" t="s">
        <v>101</v>
      </c>
      <c r="B33" s="13" t="n">
        <v>5</v>
      </c>
      <c r="C33" s="0" t="s">
        <v>70</v>
      </c>
      <c r="D33" s="7" t="s">
        <v>102</v>
      </c>
    </row>
    <row r="34" customFormat="false" ht="15" hidden="false" customHeight="false" outlineLevel="0" collapsed="false">
      <c r="A34" s="0" t="s">
        <v>103</v>
      </c>
      <c r="B34" s="13" t="n">
        <v>0.85</v>
      </c>
      <c r="C34" s="0" t="s">
        <v>54</v>
      </c>
      <c r="D34" s="7" t="s">
        <v>102</v>
      </c>
    </row>
    <row r="35" customFormat="false" ht="15" hidden="false" customHeight="false" outlineLevel="0" collapsed="false">
      <c r="A35" s="0" t="s">
        <v>104</v>
      </c>
      <c r="B35" s="13" t="n">
        <v>0.89</v>
      </c>
      <c r="C35" s="0" t="s">
        <v>54</v>
      </c>
      <c r="D35" s="7" t="s">
        <v>102</v>
      </c>
    </row>
    <row r="36" customFormat="false" ht="15" hidden="false" customHeight="false" outlineLevel="0" collapsed="false">
      <c r="A36" s="0" t="s">
        <v>105</v>
      </c>
      <c r="B36" s="13" t="n">
        <v>1.27</v>
      </c>
      <c r="C36" s="0" t="s">
        <v>70</v>
      </c>
      <c r="D36" s="7" t="s">
        <v>106</v>
      </c>
    </row>
    <row r="37" customFormat="false" ht="15" hidden="false" customHeight="false" outlineLevel="0" collapsed="false">
      <c r="A37" s="0" t="s">
        <v>107</v>
      </c>
      <c r="B37" s="15" t="n">
        <v>0.65</v>
      </c>
      <c r="C37" s="0" t="s">
        <v>108</v>
      </c>
      <c r="D37" s="7" t="s">
        <v>109</v>
      </c>
    </row>
    <row r="38" customFormat="false" ht="15" hidden="false" customHeight="false" outlineLevel="0" collapsed="false">
      <c r="A38" s="0" t="s">
        <v>110</v>
      </c>
      <c r="B38" s="13" t="n">
        <v>2</v>
      </c>
      <c r="C38" s="0" t="s">
        <v>70</v>
      </c>
      <c r="D38" s="7" t="s">
        <v>111</v>
      </c>
    </row>
    <row r="39" customFormat="false" ht="15" hidden="false" customHeight="false" outlineLevel="0" collapsed="false">
      <c r="A39" s="0" t="s">
        <v>112</v>
      </c>
      <c r="B39" s="13" t="n">
        <v>2</v>
      </c>
      <c r="C39" s="0" t="s">
        <v>70</v>
      </c>
      <c r="D39" s="7" t="s">
        <v>113</v>
      </c>
    </row>
    <row r="40" customFormat="false" ht="15" hidden="false" customHeight="false" outlineLevel="0" collapsed="false">
      <c r="A40" s="0" t="s">
        <v>114</v>
      </c>
      <c r="B40" s="13" t="n">
        <v>0.754</v>
      </c>
      <c r="C40" s="0" t="s">
        <v>70</v>
      </c>
      <c r="D40" s="7" t="s">
        <v>71</v>
      </c>
    </row>
    <row r="41" customFormat="false" ht="15" hidden="false" customHeight="false" outlineLevel="0" collapsed="false">
      <c r="A41" s="0" t="s">
        <v>115</v>
      </c>
      <c r="B41" s="13" t="n">
        <v>1.611</v>
      </c>
      <c r="C41" s="0" t="s">
        <v>70</v>
      </c>
      <c r="D41" s="7" t="s">
        <v>116</v>
      </c>
    </row>
    <row r="42" customFormat="false" ht="15" hidden="false" customHeight="false" outlineLevel="0" collapsed="false">
      <c r="A42" s="0" t="s">
        <v>117</v>
      </c>
      <c r="B42" s="13" t="n">
        <v>0.709</v>
      </c>
      <c r="C42" s="0" t="s">
        <v>70</v>
      </c>
      <c r="D42" s="7" t="s">
        <v>118</v>
      </c>
    </row>
    <row r="43" customFormat="false" ht="15" hidden="false" customHeight="false" outlineLevel="0" collapsed="false">
      <c r="A43" s="0" t="s">
        <v>119</v>
      </c>
      <c r="B43" s="13" t="n">
        <v>0.495</v>
      </c>
      <c r="C43" s="0" t="s">
        <v>70</v>
      </c>
      <c r="D43" s="7" t="s">
        <v>71</v>
      </c>
    </row>
    <row r="44" customFormat="false" ht="15" hidden="false" customHeight="false" outlineLevel="0" collapsed="false">
      <c r="A44" s="0" t="s">
        <v>120</v>
      </c>
      <c r="B44" s="13" t="n">
        <v>1</v>
      </c>
      <c r="C44" s="0" t="s">
        <v>70</v>
      </c>
      <c r="D44" s="7" t="s">
        <v>121</v>
      </c>
    </row>
    <row r="45" customFormat="false" ht="15" hidden="false" customHeight="false" outlineLevel="0" collapsed="false">
      <c r="A45" s="0" t="s">
        <v>122</v>
      </c>
      <c r="B45" s="13" t="n">
        <v>0.296</v>
      </c>
      <c r="C45" s="0" t="s">
        <v>70</v>
      </c>
      <c r="D45" s="7" t="s">
        <v>123</v>
      </c>
    </row>
    <row r="46" customFormat="false" ht="15" hidden="false" customHeight="false" outlineLevel="0" collapsed="false">
      <c r="A46" s="0" t="s">
        <v>124</v>
      </c>
      <c r="B46" s="13" t="n">
        <v>0.5</v>
      </c>
      <c r="C46" s="0" t="s">
        <v>70</v>
      </c>
      <c r="D46" s="7" t="s">
        <v>125</v>
      </c>
    </row>
    <row r="47" customFormat="false" ht="15" hidden="false" customHeight="false" outlineLevel="0" collapsed="false">
      <c r="A47" s="11" t="s">
        <v>126</v>
      </c>
    </row>
    <row r="48" customFormat="false" ht="15" hidden="false" customHeight="false" outlineLevel="0" collapsed="false">
      <c r="A48" s="0" t="s">
        <v>127</v>
      </c>
      <c r="B48" s="16" t="n">
        <v>2.22</v>
      </c>
      <c r="C48" s="0" t="s">
        <v>70</v>
      </c>
      <c r="D48" s="7" t="s">
        <v>128</v>
      </c>
    </row>
    <row r="49" customFormat="false" ht="15" hidden="false" customHeight="false" outlineLevel="0" collapsed="false">
      <c r="A49" s="0" t="s">
        <v>129</v>
      </c>
      <c r="B49" s="16" t="n">
        <v>2.36</v>
      </c>
      <c r="C49" s="0" t="s">
        <v>70</v>
      </c>
      <c r="D49" s="7" t="s">
        <v>130</v>
      </c>
    </row>
    <row r="50" customFormat="false" ht="15" hidden="false" customHeight="false" outlineLevel="0" collapsed="false">
      <c r="A50" s="0" t="s">
        <v>131</v>
      </c>
      <c r="B50" s="16" t="n">
        <v>2.73</v>
      </c>
      <c r="C50" s="0" t="s">
        <v>70</v>
      </c>
      <c r="D50" s="7" t="s">
        <v>132</v>
      </c>
    </row>
    <row r="51" customFormat="false" ht="15" hidden="false" customHeight="false" outlineLevel="0" collapsed="false">
      <c r="A51" s="0" t="s">
        <v>133</v>
      </c>
      <c r="B51" s="16" t="n">
        <v>2.72</v>
      </c>
      <c r="C51" s="0" t="s">
        <v>70</v>
      </c>
      <c r="D51" s="7" t="s">
        <v>134</v>
      </c>
    </row>
    <row r="52" customFormat="false" ht="15" hidden="false" customHeight="false" outlineLevel="0" collapsed="false">
      <c r="A52" s="0" t="s">
        <v>135</v>
      </c>
      <c r="B52" s="17" t="n">
        <v>0.215</v>
      </c>
      <c r="C52" s="0" t="s">
        <v>108</v>
      </c>
      <c r="D52" s="7" t="s">
        <v>136</v>
      </c>
    </row>
    <row r="53" customFormat="false" ht="15" hidden="false" customHeight="false" outlineLevel="0" collapsed="false">
      <c r="A53" s="0" t="s">
        <v>137</v>
      </c>
      <c r="B53" s="17" t="n">
        <v>0.22</v>
      </c>
      <c r="C53" s="0" t="s">
        <v>108</v>
      </c>
      <c r="D53" s="7" t="s">
        <v>130</v>
      </c>
    </row>
    <row r="54" customFormat="false" ht="15" hidden="false" customHeight="false" outlineLevel="0" collapsed="false">
      <c r="A54" s="0" t="s">
        <v>138</v>
      </c>
      <c r="B54" s="17" t="n">
        <v>0.162</v>
      </c>
      <c r="C54" s="0" t="s">
        <v>108</v>
      </c>
      <c r="D54" s="7" t="s">
        <v>139</v>
      </c>
    </row>
    <row r="55" customFormat="false" ht="15" hidden="false" customHeight="false" outlineLevel="0" collapsed="false">
      <c r="A55" s="0" t="s">
        <v>140</v>
      </c>
      <c r="B55" s="16" t="n">
        <v>-0.16</v>
      </c>
      <c r="C55" s="0" t="s">
        <v>70</v>
      </c>
      <c r="D55" s="7" t="s">
        <v>141</v>
      </c>
    </row>
    <row r="56" customFormat="false" ht="15" hidden="false" customHeight="false" outlineLevel="0" collapsed="false">
      <c r="A56" s="0" t="s">
        <v>142</v>
      </c>
      <c r="B56" s="16" t="n">
        <v>-0.7</v>
      </c>
      <c r="C56" s="0" t="s">
        <v>70</v>
      </c>
      <c r="D56" s="7" t="s">
        <v>130</v>
      </c>
    </row>
    <row r="57" customFormat="false" ht="15" hidden="false" customHeight="false" outlineLevel="0" collapsed="false">
      <c r="A57" s="0" t="s">
        <v>143</v>
      </c>
      <c r="B57" s="16" t="n">
        <v>-0.76</v>
      </c>
      <c r="C57" s="0" t="s">
        <v>70</v>
      </c>
      <c r="D57" s="7" t="s">
        <v>130</v>
      </c>
    </row>
    <row r="58" customFormat="false" ht="15" hidden="false" customHeight="false" outlineLevel="0" collapsed="false">
      <c r="A58" s="0" t="s">
        <v>144</v>
      </c>
      <c r="B58" s="17" t="n">
        <v>0.5</v>
      </c>
      <c r="C58" s="0" t="s">
        <v>108</v>
      </c>
      <c r="D58" s="7" t="s">
        <v>145</v>
      </c>
    </row>
    <row r="59" customFormat="false" ht="15" hidden="false" customHeight="false" outlineLevel="0" collapsed="false">
      <c r="A59" s="0" t="s">
        <v>146</v>
      </c>
      <c r="B59" s="17" t="n">
        <v>1</v>
      </c>
      <c r="C59" s="0" t="s">
        <v>108</v>
      </c>
      <c r="D59" s="7" t="s">
        <v>130</v>
      </c>
    </row>
    <row r="60" customFormat="false" ht="15" hidden="false" customHeight="false" outlineLevel="0" collapsed="false">
      <c r="A60" s="0" t="s">
        <v>147</v>
      </c>
      <c r="B60" s="18" t="n">
        <v>27</v>
      </c>
      <c r="C60" s="0" t="s">
        <v>85</v>
      </c>
      <c r="D60" s="7" t="s">
        <v>148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24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46"/>
    <col collapsed="false" customWidth="true" hidden="false" outlineLevel="0" max="13" min="2" style="0" width="10"/>
  </cols>
  <sheetData>
    <row r="1" customFormat="false" ht="15" hidden="false" customHeight="false" outlineLevel="0" collapsed="false">
      <c r="A1" s="1" t="s">
        <v>149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150</v>
      </c>
      <c r="B4" s="4" t="s">
        <v>151</v>
      </c>
      <c r="C4" s="4" t="s">
        <v>152</v>
      </c>
      <c r="D4" s="4" t="s">
        <v>153</v>
      </c>
      <c r="E4" s="4" t="s">
        <v>154</v>
      </c>
      <c r="F4" s="4" t="s">
        <v>155</v>
      </c>
      <c r="G4" s="4" t="s">
        <v>156</v>
      </c>
      <c r="H4" s="4" t="s">
        <v>157</v>
      </c>
      <c r="I4" s="4" t="s">
        <v>158</v>
      </c>
      <c r="J4" s="4" t="s">
        <v>159</v>
      </c>
      <c r="K4" s="4" t="s">
        <v>160</v>
      </c>
      <c r="L4" s="4" t="s">
        <v>161</v>
      </c>
      <c r="M4" s="4" t="s">
        <v>162</v>
      </c>
    </row>
    <row r="5" customFormat="false" ht="15" hidden="false" customHeight="false" outlineLevel="0" collapsed="false">
      <c r="A5" s="5" t="s">
        <v>163</v>
      </c>
      <c r="B5" s="19" t="n">
        <v>0.93</v>
      </c>
      <c r="C5" s="19" t="n">
        <v>1.113</v>
      </c>
      <c r="D5" s="19" t="n">
        <v>1.246</v>
      </c>
      <c r="E5" s="19" t="n">
        <v>1.368</v>
      </c>
      <c r="F5" s="19" t="n">
        <v>1.355</v>
      </c>
      <c r="G5" s="19" t="n">
        <v>1.566</v>
      </c>
      <c r="H5" s="19" t="n">
        <v>1.652</v>
      </c>
      <c r="I5" s="19" t="n">
        <v>1.701</v>
      </c>
      <c r="J5" s="19" t="n">
        <v>1.846</v>
      </c>
      <c r="K5" s="19" t="n">
        <v>2.072</v>
      </c>
      <c r="L5" s="20" t="n">
        <f aca="false">Assumptions!$B$48</f>
        <v>2.22</v>
      </c>
      <c r="M5" s="20" t="n">
        <f aca="false">Assumptions!$B$49</f>
        <v>2.36</v>
      </c>
    </row>
    <row r="6" customFormat="false" ht="15" hidden="false" customHeight="false" outlineLevel="0" collapsed="false">
      <c r="A6" s="21" t="s">
        <v>164</v>
      </c>
      <c r="B6" s="20" t="n">
        <f aca="false">B7-B5</f>
        <v>2.328</v>
      </c>
      <c r="C6" s="20" t="n">
        <f aca="false">C7-C5</f>
        <v>2.491</v>
      </c>
      <c r="D6" s="20" t="n">
        <f aca="false">D7-D5</f>
        <v>2.487</v>
      </c>
      <c r="E6" s="20" t="n">
        <f aca="false">E7-E5</f>
        <v>2.506</v>
      </c>
      <c r="F6" s="20" t="n">
        <f aca="false">F7-F5</f>
        <v>2.324</v>
      </c>
      <c r="G6" s="20" t="n">
        <f aca="false">G7-G5</f>
        <v>2.479</v>
      </c>
      <c r="H6" s="20" t="n">
        <f aca="false">H7-H5</f>
        <v>2.62</v>
      </c>
      <c r="I6" s="20" t="n">
        <f aca="false">I7-I5</f>
        <v>2.711</v>
      </c>
      <c r="J6" s="20" t="n">
        <f aca="false">J7-J5</f>
        <v>2.499</v>
      </c>
      <c r="K6" s="20" t="n">
        <f aca="false">K7-K5</f>
        <v>2.666</v>
      </c>
      <c r="L6" s="20" t="n">
        <f aca="false">Assumptions!$B$50</f>
        <v>2.73</v>
      </c>
      <c r="M6" s="20" t="n">
        <f aca="false">Assumptions!$B$51</f>
        <v>2.72</v>
      </c>
    </row>
    <row r="7" customFormat="false" ht="15" hidden="false" customHeight="false" outlineLevel="0" collapsed="false">
      <c r="A7" s="5" t="s">
        <v>165</v>
      </c>
      <c r="B7" s="19" t="n">
        <v>3.258</v>
      </c>
      <c r="C7" s="19" t="n">
        <v>3.604</v>
      </c>
      <c r="D7" s="19" t="n">
        <v>3.733</v>
      </c>
      <c r="E7" s="19" t="n">
        <v>3.874</v>
      </c>
      <c r="F7" s="19" t="n">
        <v>3.679</v>
      </c>
      <c r="G7" s="19" t="n">
        <v>4.045</v>
      </c>
      <c r="H7" s="19" t="n">
        <v>4.272</v>
      </c>
      <c r="I7" s="19" t="n">
        <v>4.412</v>
      </c>
      <c r="J7" s="19" t="n">
        <v>4.345</v>
      </c>
      <c r="K7" s="19" t="n">
        <v>4.738</v>
      </c>
      <c r="L7" s="20" t="n">
        <f aca="false">L5+L6</f>
        <v>4.95</v>
      </c>
      <c r="M7" s="20" t="n">
        <f aca="false">M5+M6</f>
        <v>5.08</v>
      </c>
    </row>
    <row r="8" customFormat="false" ht="15" hidden="false" customHeight="false" outlineLevel="0" collapsed="false">
      <c r="A8" s="21" t="s">
        <v>166</v>
      </c>
      <c r="B8" s="22"/>
      <c r="C8" s="22"/>
      <c r="D8" s="22"/>
      <c r="E8" s="22"/>
      <c r="F8" s="22" t="n">
        <f aca="false">F5/B5-1</f>
        <v>0.456989247311828</v>
      </c>
      <c r="G8" s="22" t="n">
        <f aca="false">G5/C5-1</f>
        <v>0.407008086253369</v>
      </c>
      <c r="H8" s="22" t="n">
        <f aca="false">H5/D5-1</f>
        <v>0.325842696629213</v>
      </c>
      <c r="I8" s="22" t="n">
        <f aca="false">I5/E5-1</f>
        <v>0.243421052631579</v>
      </c>
      <c r="J8" s="22" t="n">
        <f aca="false">J5/F5-1</f>
        <v>0.362361623616236</v>
      </c>
      <c r="K8" s="22" t="n">
        <f aca="false">K5/G5-1</f>
        <v>0.323116219667944</v>
      </c>
      <c r="L8" s="22" t="n">
        <f aca="false">L5/H5-1</f>
        <v>0.343825665859564</v>
      </c>
      <c r="M8" s="22" t="n">
        <f aca="false">M5/I5-1</f>
        <v>0.387419165196943</v>
      </c>
    </row>
    <row r="9" customFormat="false" ht="15" hidden="false" customHeight="false" outlineLevel="0" collapsed="false">
      <c r="A9" s="21" t="s">
        <v>167</v>
      </c>
      <c r="B9" s="22" t="n">
        <f aca="false">B5/B7</f>
        <v>0.285451197053407</v>
      </c>
      <c r="C9" s="22" t="n">
        <f aca="false">C5/C7</f>
        <v>0.308823529411765</v>
      </c>
      <c r="D9" s="22" t="n">
        <f aca="false">D5/D7</f>
        <v>0.333779801768015</v>
      </c>
      <c r="E9" s="22" t="n">
        <f aca="false">E5/E7</f>
        <v>0.353123386680434</v>
      </c>
      <c r="F9" s="22" t="n">
        <f aca="false">F5/F7</f>
        <v>0.368306605055722</v>
      </c>
      <c r="G9" s="22" t="n">
        <f aca="false">G5/G7</f>
        <v>0.387144622991347</v>
      </c>
      <c r="H9" s="22" t="n">
        <f aca="false">H5/H7</f>
        <v>0.386704119850187</v>
      </c>
      <c r="I9" s="22" t="n">
        <f aca="false">I5/I7</f>
        <v>0.385539437896646</v>
      </c>
      <c r="J9" s="22" t="n">
        <f aca="false">J5/J7</f>
        <v>0.424856156501726</v>
      </c>
      <c r="K9" s="22" t="n">
        <f aca="false">K5/K7</f>
        <v>0.437315322921064</v>
      </c>
      <c r="L9" s="22" t="n">
        <f aca="false">L5/L7</f>
        <v>0.448484848484849</v>
      </c>
      <c r="M9" s="22" t="n">
        <f aca="false">M5/M7</f>
        <v>0.464566929133858</v>
      </c>
    </row>
    <row r="10" customFormat="false" ht="15" hidden="false" customHeight="false" outlineLevel="0" collapsed="false">
      <c r="A10" s="21" t="s">
        <v>168</v>
      </c>
      <c r="B10" s="19" t="n">
        <v>0.1</v>
      </c>
      <c r="C10" s="19" t="n">
        <v>0.143</v>
      </c>
      <c r="D10" s="19" t="n">
        <v>0.175</v>
      </c>
      <c r="E10" s="19" t="n">
        <v>0.194</v>
      </c>
      <c r="F10" s="19" t="n">
        <v>0.201</v>
      </c>
      <c r="G10" s="19" t="n">
        <v>0.247</v>
      </c>
      <c r="H10" s="19" t="n">
        <v>0.295</v>
      </c>
      <c r="I10" s="19" t="n">
        <v>0.305</v>
      </c>
      <c r="J10" s="19" t="n">
        <v>0.387</v>
      </c>
      <c r="K10" s="19" t="n">
        <v>0.438</v>
      </c>
      <c r="L10" s="20" t="n">
        <f aca="false">L5*Assumptions!$B$52</f>
        <v>0.4773</v>
      </c>
      <c r="M10" s="20" t="n">
        <f aca="false">M5*Assumptions!$B$53</f>
        <v>0.5192</v>
      </c>
    </row>
    <row r="11" customFormat="false" ht="15" hidden="false" customHeight="false" outlineLevel="0" collapsed="false">
      <c r="A11" s="5" t="s">
        <v>169</v>
      </c>
      <c r="B11" s="22" t="n">
        <f aca="false">B10/B5</f>
        <v>0.10752688172043</v>
      </c>
      <c r="C11" s="22" t="n">
        <f aca="false">C10/C5</f>
        <v>0.12848158131177</v>
      </c>
      <c r="D11" s="22" t="n">
        <f aca="false">D10/D5</f>
        <v>0.140449438202247</v>
      </c>
      <c r="E11" s="22" t="n">
        <f aca="false">E10/E5</f>
        <v>0.141812865497076</v>
      </c>
      <c r="F11" s="22" t="n">
        <f aca="false">F10/F5</f>
        <v>0.148339483394834</v>
      </c>
      <c r="G11" s="22" t="n">
        <f aca="false">G10/G5</f>
        <v>0.157726692209451</v>
      </c>
      <c r="H11" s="22" t="n">
        <f aca="false">H10/H5</f>
        <v>0.178571428571429</v>
      </c>
      <c r="I11" s="22" t="n">
        <f aca="false">I10/I5</f>
        <v>0.179306290417402</v>
      </c>
      <c r="J11" s="22" t="n">
        <f aca="false">J10/J5</f>
        <v>0.20964247020585</v>
      </c>
      <c r="K11" s="22" t="n">
        <f aca="false">K10/K5</f>
        <v>0.211389961389961</v>
      </c>
      <c r="L11" s="22" t="n">
        <f aca="false">L10/L5</f>
        <v>0.215</v>
      </c>
      <c r="M11" s="22" t="n">
        <f aca="false">M10/M5</f>
        <v>0.22</v>
      </c>
    </row>
    <row r="12" customFormat="false" ht="15" hidden="false" customHeight="false" outlineLevel="0" collapsed="false">
      <c r="A12" s="5" t="s">
        <v>170</v>
      </c>
      <c r="B12" s="23" t="n">
        <v>0.38</v>
      </c>
      <c r="C12" s="23" t="n">
        <v>0.47</v>
      </c>
      <c r="D12" s="23" t="n">
        <v>0.54</v>
      </c>
      <c r="E12" s="23" t="n">
        <v>0.57</v>
      </c>
      <c r="F12" s="23" t="n">
        <v>0.54</v>
      </c>
      <c r="G12" s="23" t="n">
        <v>0.6</v>
      </c>
      <c r="H12" s="23" t="n">
        <v>0.67</v>
      </c>
      <c r="I12" s="23" t="n">
        <v>0.72</v>
      </c>
      <c r="J12" s="23" t="n">
        <v>0.7</v>
      </c>
      <c r="K12" s="23" t="n">
        <v>0.78</v>
      </c>
      <c r="L12" s="24" t="n">
        <f aca="false">(L10+L6*Assumptions!$B$54+Assumptions!$B$55)/Assumptions!$B$14</f>
        <v>0.868068571428571</v>
      </c>
      <c r="M12" s="24" t="n">
        <f aca="false">(M10+M6*Assumptions!$B$54+Assumptions!$B$55)/Assumptions!$B$14</f>
        <v>0.914102857142857</v>
      </c>
    </row>
    <row r="14" customFormat="false" ht="15" hidden="false" customHeight="false" outlineLevel="0" collapsed="false">
      <c r="A14" s="11" t="s">
        <v>171</v>
      </c>
    </row>
    <row r="15" customFormat="false" ht="15" hidden="false" customHeight="false" outlineLevel="0" collapsed="false">
      <c r="A15" s="0" t="s">
        <v>172</v>
      </c>
      <c r="B15" s="25" t="n">
        <f aca="false">SUM(H12:K12)</f>
        <v>2.87</v>
      </c>
    </row>
    <row r="16" customFormat="false" ht="15" hidden="false" customHeight="false" outlineLevel="0" collapsed="false">
      <c r="A16" s="0" t="s">
        <v>173</v>
      </c>
      <c r="B16" s="25" t="n">
        <f aca="false">(Assumptions!$B$34+Assumptions!$B$35)/2</f>
        <v>0.87</v>
      </c>
    </row>
    <row r="17" customFormat="false" ht="15" hidden="false" customHeight="false" outlineLevel="0" collapsed="false">
      <c r="A17" s="0" t="s">
        <v>174</v>
      </c>
      <c r="B17" s="26" t="n">
        <f aca="false">(Assumptions!$B$32+Assumptions!$B$33)/2</f>
        <v>4.95</v>
      </c>
    </row>
    <row r="18" customFormat="false" ht="15" hidden="false" customHeight="false" outlineLevel="0" collapsed="false">
      <c r="A18" s="0" t="s">
        <v>175</v>
      </c>
      <c r="B18" s="27" t="n">
        <f aca="false">M7*4</f>
        <v>20.32</v>
      </c>
    </row>
    <row r="19" customFormat="false" ht="15" hidden="false" customHeight="false" outlineLevel="0" collapsed="false">
      <c r="A19" s="0" t="s">
        <v>176</v>
      </c>
      <c r="B19" s="28" t="n">
        <f aca="false">Assumptions!$B$36/K5</f>
        <v>0.612934362934363</v>
      </c>
    </row>
    <row r="20" customFormat="false" ht="15" hidden="false" customHeight="false" outlineLevel="0" collapsed="false">
      <c r="A20" s="0" t="s">
        <v>177</v>
      </c>
      <c r="B20" s="29" t="n">
        <f aca="false">K5-Assumptions!$B$36</f>
        <v>0.802</v>
      </c>
    </row>
    <row r="21" customFormat="false" ht="15" hidden="false" customHeight="false" outlineLevel="0" collapsed="false">
      <c r="A21" s="0" t="s">
        <v>178</v>
      </c>
      <c r="B21" s="29" t="n">
        <f aca="false">G5-Assumptions!$B$36/(1+Assumptions!$B$37)</f>
        <v>0.79630303030303</v>
      </c>
    </row>
    <row r="23" customFormat="false" ht="15" hidden="false" customHeight="false" outlineLevel="0" collapsed="false">
      <c r="A23" s="12" t="s">
        <v>179</v>
      </c>
    </row>
    <row r="24" customFormat="false" ht="15" hidden="false" customHeight="false" outlineLevel="0" collapsed="false">
      <c r="A24" s="12" t="s">
        <v>180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3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50"/>
    <col collapsed="false" customWidth="true" hidden="false" outlineLevel="0" max="7" min="2" style="0" width="12"/>
  </cols>
  <sheetData>
    <row r="1" customFormat="false" ht="15" hidden="false" customHeight="false" outlineLevel="0" collapsed="false">
      <c r="A1" s="1" t="s">
        <v>181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/>
      <c r="B4" s="4" t="s">
        <v>182</v>
      </c>
      <c r="C4" s="4" t="s">
        <v>183</v>
      </c>
      <c r="D4" s="4" t="s">
        <v>184</v>
      </c>
      <c r="E4" s="4" t="s">
        <v>185</v>
      </c>
      <c r="F4" s="4" t="s">
        <v>186</v>
      </c>
      <c r="G4" s="4" t="s">
        <v>187</v>
      </c>
    </row>
    <row r="5" customFormat="false" ht="15" hidden="false" customHeight="false" outlineLevel="0" collapsed="false">
      <c r="A5" s="21" t="s">
        <v>163</v>
      </c>
      <c r="B5" s="30" t="n">
        <v>4.012</v>
      </c>
      <c r="C5" s="30" t="n">
        <v>4.657</v>
      </c>
      <c r="D5" s="30" t="n">
        <v>6.274</v>
      </c>
      <c r="E5" s="31" t="n">
        <f aca="false">SUM(Quarterly!J5:M5)</f>
        <v>8.498</v>
      </c>
      <c r="F5" s="31" t="n">
        <f aca="false">E5*(1+Scenarios!B6)</f>
        <v>11.4723</v>
      </c>
      <c r="G5" s="31" t="n">
        <f aca="false">F5*(1+Scenarios!C6)</f>
        <v>14.340375</v>
      </c>
    </row>
    <row r="6" customFormat="false" ht="15" hidden="false" customHeight="false" outlineLevel="0" collapsed="false">
      <c r="A6" s="21" t="s">
        <v>188</v>
      </c>
      <c r="B6" s="31" t="n">
        <f aca="false">B7-B5</f>
        <v>9.568</v>
      </c>
      <c r="C6" s="31" t="n">
        <f aca="false">C7-C5</f>
        <v>9.812</v>
      </c>
      <c r="D6" s="31" t="n">
        <f aca="false">D7-D5</f>
        <v>10.134</v>
      </c>
      <c r="E6" s="31" t="n">
        <f aca="false">SUM(Quarterly!J6:M6)</f>
        <v>10.615</v>
      </c>
      <c r="F6" s="31" t="n">
        <f aca="false">E6*(1+Scenarios!F6)</f>
        <v>11.57035</v>
      </c>
      <c r="G6" s="31" t="n">
        <f aca="false">F6*(1+Scenarios!G6)</f>
        <v>12.495978</v>
      </c>
    </row>
    <row r="7" customFormat="false" ht="15" hidden="false" customHeight="false" outlineLevel="0" collapsed="false">
      <c r="A7" s="5" t="s">
        <v>165</v>
      </c>
      <c r="B7" s="30" t="n">
        <v>13.58</v>
      </c>
      <c r="C7" s="30" t="n">
        <v>14.469</v>
      </c>
      <c r="D7" s="30" t="n">
        <v>16.408</v>
      </c>
      <c r="E7" s="31" t="n">
        <f aca="false">E5+E6</f>
        <v>19.113</v>
      </c>
      <c r="F7" s="31" t="n">
        <f aca="false">F5+F6</f>
        <v>23.04265</v>
      </c>
      <c r="G7" s="31" t="n">
        <f aca="false">G5+G6</f>
        <v>26.836353</v>
      </c>
    </row>
    <row r="8" customFormat="false" ht="15" hidden="false" customHeight="false" outlineLevel="0" collapsed="false">
      <c r="A8" s="21" t="s">
        <v>189</v>
      </c>
      <c r="B8" s="22"/>
      <c r="C8" s="22" t="n">
        <f aca="false">C7/B7-1</f>
        <v>0.0654639175257732</v>
      </c>
      <c r="D8" s="22" t="n">
        <f aca="false">D7/C7-1</f>
        <v>0.134010643444606</v>
      </c>
      <c r="E8" s="22" t="n">
        <f aca="false">E7/D7-1</f>
        <v>0.164858605558264</v>
      </c>
      <c r="F8" s="22" t="n">
        <f aca="false">F7/E7-1</f>
        <v>0.205600899911055</v>
      </c>
      <c r="G8" s="22" t="n">
        <f aca="false">G7/F7-1</f>
        <v>0.164638311999705</v>
      </c>
    </row>
    <row r="9" customFormat="false" ht="15" hidden="false" customHeight="false" outlineLevel="0" collapsed="false">
      <c r="A9" s="21" t="s">
        <v>190</v>
      </c>
      <c r="B9" s="22" t="n">
        <f aca="false">B5/B7</f>
        <v>0.295434462444772</v>
      </c>
      <c r="C9" s="22" t="n">
        <f aca="false">C5/C7</f>
        <v>0.321860529407699</v>
      </c>
      <c r="D9" s="22" t="n">
        <f aca="false">D5/D7</f>
        <v>0.382374451487079</v>
      </c>
      <c r="E9" s="22" t="n">
        <f aca="false">E5/E7</f>
        <v>0.444618845811751</v>
      </c>
      <c r="F9" s="22" t="n">
        <f aca="false">F5/F7</f>
        <v>0.497872423527676</v>
      </c>
      <c r="G9" s="22" t="n">
        <f aca="false">G5/G7</f>
        <v>0.534363778863693</v>
      </c>
    </row>
    <row r="10" customFormat="false" ht="15" hidden="false" customHeight="false" outlineLevel="0" collapsed="false">
      <c r="A10" s="21" t="s">
        <v>168</v>
      </c>
      <c r="B10" s="30" t="n">
        <v>0.478</v>
      </c>
      <c r="C10" s="30" t="n">
        <v>0.612</v>
      </c>
      <c r="D10" s="30" t="n">
        <v>1.048</v>
      </c>
      <c r="E10" s="31" t="n">
        <f aca="false">SUM(Quarterly!J10:M10)</f>
        <v>1.8215</v>
      </c>
      <c r="F10" s="31" t="n">
        <f aca="false">F5*Scenarios!D6</f>
        <v>2.638629</v>
      </c>
      <c r="G10" s="31" t="n">
        <f aca="false">G5*Scenarios!E6</f>
        <v>3.44169</v>
      </c>
    </row>
    <row r="11" customFormat="false" ht="15" hidden="false" customHeight="false" outlineLevel="0" collapsed="false">
      <c r="A11" s="5" t="s">
        <v>191</v>
      </c>
      <c r="B11" s="22" t="n">
        <f aca="false">B10/B5</f>
        <v>0.119142572283151</v>
      </c>
      <c r="C11" s="22" t="n">
        <f aca="false">C10/C5</f>
        <v>0.131415074082027</v>
      </c>
      <c r="D11" s="22" t="n">
        <f aca="false">D10/D5</f>
        <v>0.167038571883966</v>
      </c>
      <c r="E11" s="22" t="n">
        <f aca="false">E10/E5</f>
        <v>0.214344551659214</v>
      </c>
      <c r="F11" s="22" t="n">
        <f aca="false">F10/F5</f>
        <v>0.23</v>
      </c>
      <c r="G11" s="22" t="n">
        <f aca="false">G10/G5</f>
        <v>0.24</v>
      </c>
    </row>
    <row r="12" customFormat="false" ht="15" hidden="false" customHeight="false" outlineLevel="0" collapsed="false">
      <c r="A12" s="21" t="s">
        <v>192</v>
      </c>
      <c r="B12" s="31"/>
      <c r="C12" s="31"/>
      <c r="D12" s="31"/>
      <c r="E12" s="31" t="n">
        <f aca="false">(Assumptions!$B$29-Assumptions!$B$28)+(Quarterly!L6+Quarterly!M6)*Assumptions!$B$54</f>
        <v>1.6679</v>
      </c>
      <c r="F12" s="31" t="n">
        <f aca="false">F6*Scenarios!H6</f>
        <v>1.90910775</v>
      </c>
      <c r="G12" s="31" t="n">
        <f aca="false">G6*Scenarios!I6</f>
        <v>2.12431626</v>
      </c>
    </row>
    <row r="13" customFormat="false" ht="15" hidden="false" customHeight="false" outlineLevel="0" collapsed="false">
      <c r="A13" s="21" t="s">
        <v>193</v>
      </c>
      <c r="B13" s="31"/>
      <c r="C13" s="31"/>
      <c r="D13" s="31"/>
      <c r="E13" s="31" t="n">
        <f aca="false">(Assumptions!$B$30-Assumptions!$B$29)+2*Assumptions!$B$55</f>
        <v>-0.638</v>
      </c>
      <c r="F13" s="32" t="n">
        <f aca="false">Assumptions!$B$56</f>
        <v>-0.7</v>
      </c>
      <c r="G13" s="32" t="n">
        <f aca="false">Assumptions!$B$57</f>
        <v>-0.76</v>
      </c>
    </row>
    <row r="14" customFormat="false" ht="15" hidden="false" customHeight="false" outlineLevel="0" collapsed="false">
      <c r="A14" s="5" t="s">
        <v>194</v>
      </c>
      <c r="B14" s="30" t="n">
        <v>1.463</v>
      </c>
      <c r="C14" s="30" t="n">
        <v>1.699</v>
      </c>
      <c r="D14" s="30" t="n">
        <v>2.199</v>
      </c>
      <c r="E14" s="31" t="n">
        <f aca="false">E10+E12+E13</f>
        <v>2.8514</v>
      </c>
      <c r="F14" s="31" t="n">
        <f aca="false">F10+F12+F13</f>
        <v>3.84773675</v>
      </c>
      <c r="G14" s="31" t="n">
        <f aca="false">G10+G12+G13</f>
        <v>4.80600626</v>
      </c>
    </row>
    <row r="15" customFormat="false" ht="15" hidden="false" customHeight="false" outlineLevel="0" collapsed="false">
      <c r="A15" s="21" t="s">
        <v>195</v>
      </c>
      <c r="B15" s="22" t="n">
        <f aca="false">B14/B7</f>
        <v>0.107731958762887</v>
      </c>
      <c r="C15" s="22" t="n">
        <f aca="false">C14/C7</f>
        <v>0.117423457046099</v>
      </c>
      <c r="D15" s="22" t="n">
        <f aca="false">D14/D7</f>
        <v>0.134019990248659</v>
      </c>
      <c r="E15" s="22" t="n">
        <f aca="false">E14/E7</f>
        <v>0.149186417621514</v>
      </c>
      <c r="F15" s="22" t="n">
        <f aca="false">F14/F7</f>
        <v>0.166983257134054</v>
      </c>
      <c r="G15" s="22" t="n">
        <f aca="false">G14/G7</f>
        <v>0.179085670098318</v>
      </c>
    </row>
    <row r="16" customFormat="false" ht="15" hidden="false" customHeight="false" outlineLevel="0" collapsed="false">
      <c r="A16" s="21" t="s">
        <v>196</v>
      </c>
      <c r="B16" s="20"/>
      <c r="C16" s="20"/>
      <c r="D16" s="20"/>
      <c r="E16" s="33" t="n">
        <f aca="false">Assumptions!$B$14</f>
        <v>0.875</v>
      </c>
      <c r="F16" s="33" t="n">
        <f aca="false">Assumptions!$B$14+Assumptions!$B$38/Assumptions!$B$7*Assumptions!$B$58</f>
        <v>0.881274706657464</v>
      </c>
      <c r="G16" s="33" t="n">
        <f aca="false">Assumptions!$B$14+Assumptions!$B$38/Assumptions!$B$7*Assumptions!$B$59</f>
        <v>0.887549413314928</v>
      </c>
    </row>
    <row r="17" customFormat="false" ht="15" hidden="false" customHeight="false" outlineLevel="0" collapsed="false">
      <c r="A17" s="5" t="s">
        <v>197</v>
      </c>
      <c r="B17" s="23" t="n">
        <v>1.7</v>
      </c>
      <c r="C17" s="23" t="n">
        <v>1.96</v>
      </c>
      <c r="D17" s="23" t="n">
        <v>2.52</v>
      </c>
      <c r="E17" s="9" t="n">
        <f aca="false">Assumptions!$B$31+Quarterly!L12+Quarterly!M12</f>
        <v>3.25217142857143</v>
      </c>
      <c r="F17" s="24" t="n">
        <f aca="false">F14/F16</f>
        <v>4.36610369154229</v>
      </c>
      <c r="G17" s="24" t="n">
        <f aca="false">G14/G16</f>
        <v>5.41491683493987</v>
      </c>
    </row>
    <row r="18" customFormat="false" ht="15" hidden="false" customHeight="false" outlineLevel="0" collapsed="false">
      <c r="A18" s="21" t="s">
        <v>198</v>
      </c>
      <c r="B18" s="22"/>
      <c r="C18" s="22" t="n">
        <f aca="false">C17/B17-1</f>
        <v>0.152941176470588</v>
      </c>
      <c r="D18" s="22" t="n">
        <f aca="false">D17/C17-1</f>
        <v>0.285714285714286</v>
      </c>
      <c r="E18" s="22" t="n">
        <f aca="false">E17/D17-1</f>
        <v>0.290544217687075</v>
      </c>
      <c r="F18" s="22" t="n">
        <f aca="false">F17/E17-1</f>
        <v>0.342519540386029</v>
      </c>
      <c r="G18" s="22" t="n">
        <f aca="false">G17/F17-1</f>
        <v>0.240217186190347</v>
      </c>
    </row>
    <row r="19" customFormat="false" ht="15" hidden="false" customHeight="false" outlineLevel="0" collapsed="false">
      <c r="A19" s="21" t="s">
        <v>199</v>
      </c>
      <c r="B19" s="34" t="n">
        <f aca="false">Assumptions!$B$7/B17</f>
        <v>93.7470588235294</v>
      </c>
      <c r="C19" s="34" t="n">
        <f aca="false">Assumptions!$B$7/C17</f>
        <v>81.3112244897959</v>
      </c>
      <c r="D19" s="34" t="n">
        <f aca="false">Assumptions!$B$7/D17</f>
        <v>63.2420634920635</v>
      </c>
      <c r="E19" s="34" t="n">
        <f aca="false">Assumptions!$B$7/E17</f>
        <v>49.0041818213765</v>
      </c>
      <c r="F19" s="34" t="n">
        <f aca="false">Assumptions!$B$7/F17</f>
        <v>36.5016525623797</v>
      </c>
      <c r="G19" s="34" t="n">
        <f aca="false">Assumptions!$B$7/G17</f>
        <v>29.4316616225131</v>
      </c>
    </row>
    <row r="20" customFormat="false" ht="15" hidden="false" customHeight="false" outlineLevel="0" collapsed="false">
      <c r="A20" s="21" t="s">
        <v>200</v>
      </c>
      <c r="B20" s="24"/>
      <c r="C20" s="24"/>
      <c r="D20" s="24"/>
      <c r="E20" s="9" t="n">
        <f aca="false">Assumptions!$B$19</f>
        <v>3.28</v>
      </c>
      <c r="F20" s="9" t="n">
        <f aca="false">Assumptions!$B$20</f>
        <v>4.29</v>
      </c>
      <c r="G20" s="9" t="n">
        <f aca="false">Assumptions!$B$21</f>
        <v>5.64</v>
      </c>
    </row>
    <row r="21" customFormat="false" ht="15" hidden="false" customHeight="false" outlineLevel="0" collapsed="false">
      <c r="A21" s="21" t="s">
        <v>201</v>
      </c>
      <c r="B21" s="22"/>
      <c r="C21" s="22"/>
      <c r="D21" s="22"/>
      <c r="E21" s="22" t="n">
        <f aca="false">E17/E20-1</f>
        <v>-0.00848432055749115</v>
      </c>
      <c r="F21" s="22" t="n">
        <f aca="false">F17/F20-1</f>
        <v>0.0177397882382959</v>
      </c>
      <c r="G21" s="22" t="n">
        <f aca="false">G17/G20-1</f>
        <v>-0.0399083625993145</v>
      </c>
    </row>
    <row r="22" customFormat="false" ht="15" hidden="false" customHeight="false" outlineLevel="0" collapsed="false">
      <c r="A22" s="21" t="s">
        <v>202</v>
      </c>
      <c r="B22" s="35" t="n">
        <v>0.165</v>
      </c>
      <c r="C22" s="35" t="n">
        <v>0.175</v>
      </c>
      <c r="D22" s="35" t="n">
        <v>0.193</v>
      </c>
      <c r="E22" s="22"/>
      <c r="F22" s="22"/>
      <c r="G22" s="22"/>
    </row>
    <row r="23" customFormat="false" ht="15" hidden="false" customHeight="false" outlineLevel="0" collapsed="false">
      <c r="A23" s="21" t="s">
        <v>203</v>
      </c>
      <c r="B23" s="30" t="n">
        <v>1.39</v>
      </c>
      <c r="C23" s="30" t="n">
        <v>0.965</v>
      </c>
      <c r="D23" s="30" t="n">
        <v>1.282</v>
      </c>
      <c r="E23" s="32" t="n">
        <f aca="false">Assumptions!$B$39</f>
        <v>2</v>
      </c>
      <c r="F23" s="31"/>
      <c r="G23" s="31"/>
    </row>
    <row r="24" customFormat="false" ht="15" hidden="false" customHeight="false" outlineLevel="0" collapsed="false">
      <c r="A24" s="21" t="s">
        <v>204</v>
      </c>
      <c r="B24" s="30" t="n">
        <v>0.88</v>
      </c>
      <c r="C24" s="30" t="n">
        <v>1.253</v>
      </c>
      <c r="D24" s="30" t="n">
        <v>1.717</v>
      </c>
      <c r="E24" s="31"/>
      <c r="F24" s="31"/>
      <c r="G24" s="31"/>
    </row>
    <row r="25" customFormat="false" ht="15" hidden="false" customHeight="false" outlineLevel="0" collapsed="false">
      <c r="A25" s="21" t="s">
        <v>205</v>
      </c>
      <c r="B25" s="30" t="n">
        <v>-0.042</v>
      </c>
      <c r="C25" s="30" t="n">
        <v>-0.006</v>
      </c>
      <c r="D25" s="30" t="n">
        <v>0.268</v>
      </c>
      <c r="E25" s="31"/>
      <c r="F25" s="31"/>
      <c r="G25" s="31"/>
    </row>
    <row r="26" customFormat="false" ht="15" hidden="false" customHeight="false" outlineLevel="0" collapsed="false">
      <c r="A26" s="21" t="s">
        <v>206</v>
      </c>
      <c r="B26" s="30" t="n">
        <v>0.989</v>
      </c>
      <c r="C26" s="30" t="n">
        <v>0.986</v>
      </c>
      <c r="D26" s="30" t="n">
        <v>0.999</v>
      </c>
      <c r="E26" s="31"/>
      <c r="F26" s="31"/>
      <c r="G26" s="31"/>
    </row>
    <row r="28" customFormat="false" ht="15" hidden="false" customHeight="false" outlineLevel="0" collapsed="false">
      <c r="A28" s="12" t="s">
        <v>207</v>
      </c>
    </row>
    <row r="29" customFormat="false" ht="15" hidden="false" customHeight="false" outlineLevel="0" collapsed="false">
      <c r="A29" s="12" t="s">
        <v>208</v>
      </c>
    </row>
    <row r="30" customFormat="false" ht="15" hidden="false" customHeight="false" outlineLevel="0" collapsed="false">
      <c r="A30" s="12" t="s">
        <v>209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P27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0"/>
    <col collapsed="false" customWidth="true" hidden="false" outlineLevel="0" max="16" min="2" style="0" width="11"/>
  </cols>
  <sheetData>
    <row r="1" customFormat="false" ht="15" hidden="false" customHeight="false" outlineLevel="0" collapsed="false">
      <c r="A1" s="1" t="s">
        <v>210</v>
      </c>
    </row>
    <row r="2" customFormat="false" ht="15" hidden="false" customHeight="false" outlineLevel="0" collapsed="false">
      <c r="A2" s="2" t="s">
        <v>1</v>
      </c>
    </row>
    <row r="4" customFormat="false" ht="23.85" hidden="false" customHeight="false" outlineLevel="0" collapsed="false">
      <c r="A4" s="3" t="s">
        <v>211</v>
      </c>
      <c r="B4" s="4" t="s">
        <v>212</v>
      </c>
      <c r="C4" s="4" t="s">
        <v>213</v>
      </c>
      <c r="D4" s="4" t="s">
        <v>214</v>
      </c>
      <c r="E4" s="4" t="s">
        <v>215</v>
      </c>
      <c r="F4" s="4" t="s">
        <v>216</v>
      </c>
      <c r="G4" s="4" t="s">
        <v>217</v>
      </c>
      <c r="H4" s="4" t="s">
        <v>218</v>
      </c>
      <c r="I4" s="4" t="s">
        <v>219</v>
      </c>
      <c r="J4" s="4" t="s">
        <v>220</v>
      </c>
      <c r="K4" s="4" t="s">
        <v>221</v>
      </c>
      <c r="L4" s="4" t="s">
        <v>222</v>
      </c>
      <c r="M4" s="4" t="s">
        <v>223</v>
      </c>
      <c r="N4" s="4" t="s">
        <v>224</v>
      </c>
      <c r="O4" s="4" t="s">
        <v>225</v>
      </c>
      <c r="P4" s="4" t="s">
        <v>226</v>
      </c>
    </row>
    <row r="5" customFormat="false" ht="15" hidden="false" customHeight="false" outlineLevel="0" collapsed="false">
      <c r="A5" s="5" t="s">
        <v>227</v>
      </c>
      <c r="B5" s="17" t="n">
        <v>0.22</v>
      </c>
      <c r="C5" s="17" t="n">
        <v>0.12</v>
      </c>
      <c r="D5" s="17" t="n">
        <v>0.21</v>
      </c>
      <c r="E5" s="17" t="n">
        <v>0.2</v>
      </c>
      <c r="F5" s="17" t="n">
        <v>0.06</v>
      </c>
      <c r="G5" s="17" t="n">
        <v>0.05</v>
      </c>
      <c r="H5" s="17" t="n">
        <v>0.16</v>
      </c>
      <c r="I5" s="17" t="n">
        <v>0.16</v>
      </c>
      <c r="J5" s="26" t="n">
        <f aca="false">Financials!$E$5*(1+B5)*(1+C5)</f>
        <v>11.6116672</v>
      </c>
      <c r="K5" s="26" t="n">
        <f aca="false">J5+Financials!$E$6*(1+F5)*(1+G5)</f>
        <v>23.4261622</v>
      </c>
      <c r="L5" s="26" t="n">
        <f aca="false">J5*E5+(K5-J5)*I5+Assumptions!$B$57</f>
        <v>3.45265264</v>
      </c>
      <c r="M5" s="25" t="n">
        <f aca="false">L5/Financials!$G$16</f>
        <v>3.89009624501312</v>
      </c>
      <c r="N5" s="18" t="n">
        <v>22</v>
      </c>
      <c r="O5" s="25" t="n">
        <f aca="false">M5*N5</f>
        <v>85.5821173902887</v>
      </c>
      <c r="P5" s="36" t="n">
        <f aca="false">O5/Assumptions!$B$7-1</f>
        <v>-0.46299731825131</v>
      </c>
    </row>
    <row r="6" customFormat="false" ht="15" hidden="false" customHeight="false" outlineLevel="0" collapsed="false">
      <c r="A6" s="5" t="s">
        <v>228</v>
      </c>
      <c r="B6" s="17" t="n">
        <v>0.35</v>
      </c>
      <c r="C6" s="17" t="n">
        <v>0.25</v>
      </c>
      <c r="D6" s="17" t="n">
        <v>0.23</v>
      </c>
      <c r="E6" s="17" t="n">
        <v>0.24</v>
      </c>
      <c r="F6" s="17" t="n">
        <v>0.09</v>
      </c>
      <c r="G6" s="17" t="n">
        <v>0.08</v>
      </c>
      <c r="H6" s="17" t="n">
        <v>0.165</v>
      </c>
      <c r="I6" s="17" t="n">
        <v>0.17</v>
      </c>
      <c r="J6" s="26" t="n">
        <f aca="false">Financials!$E$5*(1+B6)*(1+C6)</f>
        <v>14.340375</v>
      </c>
      <c r="K6" s="26" t="n">
        <f aca="false">J6+Financials!$E$6*(1+F6)*(1+G6)</f>
        <v>26.836353</v>
      </c>
      <c r="L6" s="26" t="n">
        <f aca="false">J6*E6+(K6-J6)*I6+Assumptions!$B$57</f>
        <v>4.80600626</v>
      </c>
      <c r="M6" s="25" t="n">
        <f aca="false">L6/Financials!$G$16</f>
        <v>5.41491683493987</v>
      </c>
      <c r="N6" s="37" t="n">
        <f aca="false">Assumptions!$B$60</f>
        <v>27</v>
      </c>
      <c r="O6" s="25" t="n">
        <f aca="false">M6*N6</f>
        <v>146.202754543376</v>
      </c>
      <c r="P6" s="36" t="n">
        <f aca="false">O6/Assumptions!$B$7-1</f>
        <v>-0.0826206027271359</v>
      </c>
    </row>
    <row r="7" customFormat="false" ht="15" hidden="false" customHeight="false" outlineLevel="0" collapsed="false">
      <c r="A7" s="5" t="s">
        <v>229</v>
      </c>
      <c r="B7" s="17" t="n">
        <v>0.45</v>
      </c>
      <c r="C7" s="17" t="n">
        <v>0.32</v>
      </c>
      <c r="D7" s="17" t="n">
        <v>0.24</v>
      </c>
      <c r="E7" s="17" t="n">
        <v>0.255</v>
      </c>
      <c r="F7" s="17" t="n">
        <v>0.12</v>
      </c>
      <c r="G7" s="17" t="n">
        <v>0.1</v>
      </c>
      <c r="H7" s="17" t="n">
        <v>0.17</v>
      </c>
      <c r="I7" s="17" t="n">
        <v>0.18</v>
      </c>
      <c r="J7" s="26" t="n">
        <f aca="false">Financials!$E$5*(1+B7)*(1+C7)</f>
        <v>16.265172</v>
      </c>
      <c r="K7" s="26" t="n">
        <f aca="false">J7+Financials!$E$6*(1+F7)*(1+G7)</f>
        <v>29.342852</v>
      </c>
      <c r="L7" s="26" t="n">
        <f aca="false">J7*E7+(K7-J7)*I7+Assumptions!$B$57</f>
        <v>5.74160126</v>
      </c>
      <c r="M7" s="25" t="n">
        <f aca="false">L7/Financials!$G$16</f>
        <v>6.46904969330729</v>
      </c>
      <c r="N7" s="18" t="n">
        <v>34</v>
      </c>
      <c r="O7" s="25" t="n">
        <f aca="false">M7*N7</f>
        <v>219.947689572448</v>
      </c>
      <c r="P7" s="36" t="n">
        <f aca="false">O7/Assumptions!$B$7-1</f>
        <v>0.380107232054013</v>
      </c>
    </row>
    <row r="9" customFormat="false" ht="15" hidden="false" customHeight="false" outlineLevel="0" collapsed="false">
      <c r="B9" s="5" t="s">
        <v>227</v>
      </c>
      <c r="C9" s="5" t="s">
        <v>228</v>
      </c>
      <c r="D9" s="5" t="s">
        <v>229</v>
      </c>
    </row>
    <row r="10" customFormat="false" ht="15" hidden="false" customHeight="false" outlineLevel="0" collapsed="false">
      <c r="A10" s="5" t="s">
        <v>230</v>
      </c>
      <c r="B10" s="38" t="n">
        <v>0.25</v>
      </c>
      <c r="C10" s="38" t="n">
        <v>0.5</v>
      </c>
      <c r="D10" s="38" t="n">
        <v>0.25</v>
      </c>
      <c r="E10" s="36" t="n">
        <f aca="false">SUM(B10:D10)</f>
        <v>1</v>
      </c>
      <c r="F10" s="12" t="s">
        <v>231</v>
      </c>
    </row>
    <row r="12" customFormat="false" ht="15" hidden="false" customHeight="false" outlineLevel="0" collapsed="false">
      <c r="A12" s="5" t="s">
        <v>15</v>
      </c>
      <c r="O12" s="39" t="n">
        <f aca="false">B10*O5+C10*O6+D10*O7</f>
        <v>149.483829012372</v>
      </c>
      <c r="P12" s="28" t="n">
        <f aca="false">O12/Assumptions!$B$7-1</f>
        <v>-0.0620328229128924</v>
      </c>
    </row>
    <row r="14" customFormat="false" ht="15" hidden="false" customHeight="false" outlineLevel="0" collapsed="false">
      <c r="A14" s="11" t="s">
        <v>232</v>
      </c>
    </row>
    <row r="15" customFormat="false" ht="23.85" hidden="false" customHeight="false" outlineLevel="0" collapsed="false">
      <c r="A15" s="3" t="s">
        <v>211</v>
      </c>
      <c r="B15" s="4" t="s">
        <v>212</v>
      </c>
      <c r="C15" s="4" t="s">
        <v>213</v>
      </c>
      <c r="D15" s="4" t="s">
        <v>214</v>
      </c>
      <c r="E15" s="4" t="s">
        <v>215</v>
      </c>
      <c r="F15" s="4" t="s">
        <v>216</v>
      </c>
      <c r="G15" s="4" t="s">
        <v>217</v>
      </c>
      <c r="H15" s="4" t="s">
        <v>218</v>
      </c>
      <c r="I15" s="4" t="s">
        <v>219</v>
      </c>
      <c r="J15" s="4" t="s">
        <v>220</v>
      </c>
      <c r="K15" s="4" t="s">
        <v>221</v>
      </c>
      <c r="L15" s="4" t="s">
        <v>222</v>
      </c>
      <c r="M15" s="4" t="s">
        <v>223</v>
      </c>
      <c r="N15" s="4" t="s">
        <v>224</v>
      </c>
      <c r="O15" s="4" t="s">
        <v>225</v>
      </c>
      <c r="P15" s="4" t="s">
        <v>226</v>
      </c>
    </row>
    <row r="16" customFormat="false" ht="15" hidden="false" customHeight="false" outlineLevel="0" collapsed="false">
      <c r="A16" s="5" t="s">
        <v>233</v>
      </c>
      <c r="B16" s="28" t="n">
        <f aca="false">B5</f>
        <v>0.22</v>
      </c>
      <c r="C16" s="28" t="n">
        <f aca="false">C5</f>
        <v>0.12</v>
      </c>
      <c r="D16" s="28" t="n">
        <f aca="false">D5</f>
        <v>0.21</v>
      </c>
      <c r="E16" s="28" t="n">
        <f aca="false">E5</f>
        <v>0.2</v>
      </c>
      <c r="F16" s="28" t="n">
        <f aca="false">F6</f>
        <v>0.09</v>
      </c>
      <c r="G16" s="28" t="n">
        <f aca="false">G6</f>
        <v>0.08</v>
      </c>
      <c r="H16" s="28" t="n">
        <f aca="false">H6</f>
        <v>0.165</v>
      </c>
      <c r="I16" s="28" t="n">
        <f aca="false">I6</f>
        <v>0.17</v>
      </c>
      <c r="J16" s="26" t="n">
        <f aca="false">Financials!$E$5*(1+B16)*(1+C16)</f>
        <v>11.6116672</v>
      </c>
      <c r="K16" s="26" t="n">
        <f aca="false">J16+Financials!$E$6*(1+F16)*(1+G16)</f>
        <v>24.1076452</v>
      </c>
      <c r="L16" s="26" t="n">
        <f aca="false">J16*E16+(K16-J16)*I16+Assumptions!$B$57</f>
        <v>3.6866497</v>
      </c>
      <c r="M16" s="25" t="n">
        <f aca="false">L16/Financials!$G$16</f>
        <v>4.15374022526887</v>
      </c>
      <c r="N16" s="37" t="n">
        <f aca="false">Assumptions!$B$60</f>
        <v>27</v>
      </c>
      <c r="O16" s="25" t="n">
        <f aca="false">M16*N16</f>
        <v>112.15098608226</v>
      </c>
      <c r="P16" s="36" t="n">
        <f aca="false">O16/Assumptions!$B$7-1</f>
        <v>-0.29628546098852</v>
      </c>
    </row>
    <row r="17" customFormat="false" ht="15" hidden="false" customHeight="false" outlineLevel="0" collapsed="false">
      <c r="A17" s="5" t="s">
        <v>234</v>
      </c>
      <c r="B17" s="28" t="n">
        <f aca="false">B7</f>
        <v>0.45</v>
      </c>
      <c r="C17" s="28" t="n">
        <f aca="false">C7</f>
        <v>0.32</v>
      </c>
      <c r="D17" s="28" t="n">
        <f aca="false">D7</f>
        <v>0.24</v>
      </c>
      <c r="E17" s="28" t="n">
        <f aca="false">E7</f>
        <v>0.255</v>
      </c>
      <c r="F17" s="28" t="n">
        <f aca="false">F6</f>
        <v>0.09</v>
      </c>
      <c r="G17" s="28" t="n">
        <f aca="false">G6</f>
        <v>0.08</v>
      </c>
      <c r="H17" s="28" t="n">
        <f aca="false">H6</f>
        <v>0.165</v>
      </c>
      <c r="I17" s="28" t="n">
        <f aca="false">I6</f>
        <v>0.17</v>
      </c>
      <c r="J17" s="26" t="n">
        <f aca="false">Financials!$E$5*(1+B17)*(1+C17)</f>
        <v>16.265172</v>
      </c>
      <c r="K17" s="26" t="n">
        <f aca="false">J17+Financials!$E$6*(1+F17)*(1+G17)</f>
        <v>28.76115</v>
      </c>
      <c r="L17" s="26" t="n">
        <f aca="false">J17*E17+(K17-J17)*I17+Assumptions!$B$57</f>
        <v>5.51193512</v>
      </c>
      <c r="M17" s="25" t="n">
        <f aca="false">L17/Financials!$G$16</f>
        <v>6.21028535122721</v>
      </c>
      <c r="N17" s="37" t="n">
        <f aca="false">Assumptions!$B$60</f>
        <v>27</v>
      </c>
      <c r="O17" s="25" t="n">
        <f aca="false">M17*N17</f>
        <v>167.677704483135</v>
      </c>
      <c r="P17" s="36" t="n">
        <f aca="false">O17/Assumptions!$B$7-1</f>
        <v>0.0521284086285672</v>
      </c>
    </row>
    <row r="18" customFormat="false" ht="15" hidden="false" customHeight="false" outlineLevel="0" collapsed="false">
      <c r="A18" s="5" t="s">
        <v>235</v>
      </c>
      <c r="B18" s="28" t="n">
        <f aca="false">B6</f>
        <v>0.35</v>
      </c>
      <c r="C18" s="28" t="n">
        <f aca="false">C6</f>
        <v>0.25</v>
      </c>
      <c r="D18" s="28" t="n">
        <f aca="false">D6</f>
        <v>0.23</v>
      </c>
      <c r="E18" s="28" t="n">
        <f aca="false">E6</f>
        <v>0.24</v>
      </c>
      <c r="F18" s="28" t="n">
        <f aca="false">F5</f>
        <v>0.06</v>
      </c>
      <c r="G18" s="28" t="n">
        <f aca="false">G5</f>
        <v>0.05</v>
      </c>
      <c r="H18" s="28" t="n">
        <f aca="false">H5</f>
        <v>0.16</v>
      </c>
      <c r="I18" s="28" t="n">
        <f aca="false">I5</f>
        <v>0.16</v>
      </c>
      <c r="J18" s="26" t="n">
        <f aca="false">Financials!$E$5*(1+B18)*(1+C18)</f>
        <v>14.340375</v>
      </c>
      <c r="K18" s="26" t="n">
        <f aca="false">J18+Financials!$E$6*(1+F18)*(1+G18)</f>
        <v>26.15487</v>
      </c>
      <c r="L18" s="26" t="n">
        <f aca="false">J18*E18+(K18-J18)*I18+Assumptions!$B$57</f>
        <v>4.5720092</v>
      </c>
      <c r="M18" s="25" t="n">
        <f aca="false">L18/Financials!$G$16</f>
        <v>5.15127285468412</v>
      </c>
      <c r="N18" s="37" t="n">
        <f aca="false">Assumptions!$B$60</f>
        <v>27</v>
      </c>
      <c r="O18" s="25" t="n">
        <f aca="false">M18*N18</f>
        <v>139.084367076471</v>
      </c>
      <c r="P18" s="36" t="n">
        <f aca="false">O18/Assumptions!$B$7-1</f>
        <v>-0.127286395956132</v>
      </c>
    </row>
    <row r="19" customFormat="false" ht="15" hidden="false" customHeight="false" outlineLevel="0" collapsed="false">
      <c r="A19" s="5" t="s">
        <v>236</v>
      </c>
      <c r="B19" s="28" t="n">
        <f aca="false">B6</f>
        <v>0.35</v>
      </c>
      <c r="C19" s="28" t="n">
        <f aca="false">C6</f>
        <v>0.25</v>
      </c>
      <c r="D19" s="28" t="n">
        <f aca="false">D6</f>
        <v>0.23</v>
      </c>
      <c r="E19" s="28" t="n">
        <f aca="false">E6</f>
        <v>0.24</v>
      </c>
      <c r="F19" s="28" t="n">
        <f aca="false">F7</f>
        <v>0.12</v>
      </c>
      <c r="G19" s="28" t="n">
        <f aca="false">G7</f>
        <v>0.1</v>
      </c>
      <c r="H19" s="28" t="n">
        <f aca="false">H7</f>
        <v>0.17</v>
      </c>
      <c r="I19" s="28" t="n">
        <f aca="false">I7</f>
        <v>0.18</v>
      </c>
      <c r="J19" s="26" t="n">
        <f aca="false">Financials!$E$5*(1+B19)*(1+C19)</f>
        <v>14.340375</v>
      </c>
      <c r="K19" s="26" t="n">
        <f aca="false">J19+Financials!$E$6*(1+F19)*(1+G19)</f>
        <v>27.418055</v>
      </c>
      <c r="L19" s="26" t="n">
        <f aca="false">J19*E19+(K19-J19)*I19+Assumptions!$B$57</f>
        <v>5.0356724</v>
      </c>
      <c r="M19" s="25" t="n">
        <f aca="false">L19/Financials!$G$16</f>
        <v>5.67368117701995</v>
      </c>
      <c r="N19" s="37" t="n">
        <f aca="false">Assumptions!$B$60</f>
        <v>27</v>
      </c>
      <c r="O19" s="25" t="n">
        <f aca="false">M19*N19</f>
        <v>153.189391779539</v>
      </c>
      <c r="P19" s="36" t="n">
        <f aca="false">O19/Assumptions!$B$7-1</f>
        <v>-0.0387815035481046</v>
      </c>
    </row>
    <row r="21" customFormat="false" ht="15" hidden="false" customHeight="false" outlineLevel="0" collapsed="false">
      <c r="A21" s="0" t="s">
        <v>237</v>
      </c>
      <c r="M21" s="25" t="n">
        <f aca="false">M17-M16</f>
        <v>2.05654512595834</v>
      </c>
    </row>
    <row r="22" customFormat="false" ht="15" hidden="false" customHeight="false" outlineLevel="0" collapsed="false">
      <c r="A22" s="0" t="s">
        <v>238</v>
      </c>
      <c r="M22" s="25" t="n">
        <f aca="false">M19-M18</f>
        <v>0.522408322335829</v>
      </c>
    </row>
    <row r="23" customFormat="false" ht="15" hidden="false" customHeight="false" outlineLevel="0" collapsed="false">
      <c r="A23" s="0" t="s">
        <v>239</v>
      </c>
      <c r="M23" s="40" t="n">
        <f aca="false">M21/M22</f>
        <v>3.93666225829438</v>
      </c>
    </row>
    <row r="25" customFormat="false" ht="15" hidden="false" customHeight="false" outlineLevel="0" collapsed="false">
      <c r="A25" s="12" t="s">
        <v>240</v>
      </c>
    </row>
    <row r="26" customFormat="false" ht="15" hidden="false" customHeight="false" outlineLevel="0" collapsed="false">
      <c r="A26" s="12" t="s">
        <v>241</v>
      </c>
    </row>
    <row r="27" customFormat="false" ht="15" hidden="false" customHeight="false" outlineLevel="0" collapsed="false">
      <c r="A27" s="12" t="s">
        <v>242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3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0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243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244</v>
      </c>
      <c r="B4" s="4" t="s">
        <v>3</v>
      </c>
      <c r="C4" s="4" t="s">
        <v>245</v>
      </c>
    </row>
    <row r="5" customFormat="false" ht="15" hidden="false" customHeight="false" outlineLevel="0" collapsed="false">
      <c r="A5" s="0" t="s">
        <v>246</v>
      </c>
      <c r="B5" s="25" t="n">
        <f aca="false">Financials!G17</f>
        <v>5.41491683493987</v>
      </c>
      <c r="C5" s="7" t="s">
        <v>247</v>
      </c>
    </row>
    <row r="6" customFormat="false" ht="15" hidden="false" customHeight="false" outlineLevel="0" collapsed="false">
      <c r="A6" s="0" t="s">
        <v>248</v>
      </c>
      <c r="B6" s="41" t="n">
        <f aca="false">Assumptions!$B$60</f>
        <v>27</v>
      </c>
      <c r="C6" s="7" t="s">
        <v>249</v>
      </c>
    </row>
    <row r="7" customFormat="false" ht="15" hidden="false" customHeight="false" outlineLevel="0" collapsed="false">
      <c r="A7" s="5" t="s">
        <v>250</v>
      </c>
      <c r="B7" s="39" t="n">
        <f aca="false">B5*B6</f>
        <v>146.202754543376</v>
      </c>
      <c r="C7" s="7" t="s">
        <v>251</v>
      </c>
    </row>
    <row r="8" customFormat="false" ht="15" hidden="false" customHeight="false" outlineLevel="0" collapsed="false">
      <c r="A8" s="0" t="s">
        <v>10</v>
      </c>
      <c r="B8" s="25" t="n">
        <f aca="false">Assumptions!$B$7</f>
        <v>159.37</v>
      </c>
      <c r="C8" s="7" t="s">
        <v>11</v>
      </c>
    </row>
    <row r="9" customFormat="false" ht="15" hidden="false" customHeight="false" outlineLevel="0" collapsed="false">
      <c r="A9" s="0" t="s">
        <v>14</v>
      </c>
      <c r="B9" s="28" t="n">
        <f aca="false">B7/B8-1</f>
        <v>-0.0826206027271359</v>
      </c>
      <c r="C9" s="7" t="s">
        <v>252</v>
      </c>
    </row>
    <row r="10" customFormat="false" ht="15" hidden="false" customHeight="false" outlineLevel="0" collapsed="false">
      <c r="A10" s="0" t="s">
        <v>15</v>
      </c>
      <c r="B10" s="25" t="n">
        <f aca="false">Scenarios!O12</f>
        <v>149.483829012372</v>
      </c>
      <c r="C10" s="7" t="s">
        <v>253</v>
      </c>
    </row>
    <row r="11" customFormat="false" ht="23.85" hidden="false" customHeight="false" outlineLevel="0" collapsed="false">
      <c r="A11" s="5" t="s">
        <v>254</v>
      </c>
      <c r="B11" s="42" t="str">
        <f aca="false">IF(B9&gt;0.15,"LONG",IF(B9&lt;-0.15,"SHORT","NO CALL"))</f>
        <v>NO CALL</v>
      </c>
      <c r="C11" s="7" t="s">
        <v>255</v>
      </c>
    </row>
    <row r="12" customFormat="false" ht="15" hidden="false" customHeight="false" outlineLevel="0" collapsed="false">
      <c r="C12" s="7"/>
    </row>
    <row r="13" customFormat="false" ht="15" hidden="false" customHeight="false" outlineLevel="0" collapsed="false">
      <c r="A13" s="0" t="s">
        <v>256</v>
      </c>
      <c r="B13" s="27" t="n">
        <f aca="false">Assumptions!$B$7*Assumptions!$B$13</f>
        <v>137.27940556</v>
      </c>
      <c r="C13" s="7"/>
    </row>
    <row r="14" customFormat="false" ht="15" hidden="false" customHeight="false" outlineLevel="0" collapsed="false">
      <c r="A14" s="0" t="s">
        <v>257</v>
      </c>
      <c r="B14" s="26" t="n">
        <f aca="false">Assumptions!$B$16-Assumptions!$B$15</f>
        <v>5.92</v>
      </c>
      <c r="C14" s="7" t="s">
        <v>258</v>
      </c>
    </row>
    <row r="15" customFormat="false" ht="15" hidden="false" customHeight="false" outlineLevel="0" collapsed="false">
      <c r="A15" s="0" t="s">
        <v>259</v>
      </c>
      <c r="B15" s="27" t="n">
        <f aca="false">B13+B14</f>
        <v>143.19940556</v>
      </c>
      <c r="C15" s="7"/>
    </row>
    <row r="16" customFormat="false" ht="15" hidden="false" customHeight="false" outlineLevel="0" collapsed="false">
      <c r="A16" s="0" t="s">
        <v>260</v>
      </c>
      <c r="B16" s="43" t="n">
        <f aca="false">4*Assumptions!$B$18/Assumptions!$B$7</f>
        <v>0.00702767145635942</v>
      </c>
      <c r="C16" s="7" t="s">
        <v>261</v>
      </c>
    </row>
    <row r="17" customFormat="false" ht="15" hidden="false" customHeight="false" outlineLevel="0" collapsed="false">
      <c r="A17" s="0" t="s">
        <v>262</v>
      </c>
      <c r="B17" s="28" t="n">
        <f aca="false">Assumptions!$B$7/Assumptions!$B$9-1</f>
        <v>0.942825795440692</v>
      </c>
      <c r="C17" s="7"/>
    </row>
    <row r="18" customFormat="false" ht="15" hidden="false" customHeight="false" outlineLevel="0" collapsed="false">
      <c r="A18" s="0" t="s">
        <v>263</v>
      </c>
      <c r="B18" s="28" t="n">
        <f aca="false">1-Assumptions!$B$7/Assumptions!$B$8</f>
        <v>0.413606593568327</v>
      </c>
      <c r="C18" s="7"/>
    </row>
    <row r="19" customFormat="false" ht="15" hidden="false" customHeight="false" outlineLevel="0" collapsed="false">
      <c r="C19" s="7"/>
    </row>
    <row r="20" customFormat="false" ht="15" hidden="false" customHeight="false" outlineLevel="0" collapsed="false">
      <c r="A20" s="0" t="s">
        <v>264</v>
      </c>
      <c r="B20" s="40" t="n">
        <f aca="false">Financials!E19</f>
        <v>49.0041818213765</v>
      </c>
      <c r="C20" s="7"/>
    </row>
    <row r="21" customFormat="false" ht="15" hidden="false" customHeight="false" outlineLevel="0" collapsed="false">
      <c r="A21" s="0" t="s">
        <v>265</v>
      </c>
      <c r="B21" s="40" t="n">
        <f aca="false">Financials!F19</f>
        <v>36.5016525623797</v>
      </c>
      <c r="C21" s="7"/>
    </row>
    <row r="22" customFormat="false" ht="15" hidden="false" customHeight="false" outlineLevel="0" collapsed="false">
      <c r="A22" s="0" t="s">
        <v>266</v>
      </c>
      <c r="B22" s="40" t="n">
        <f aca="false">Financials!G19</f>
        <v>29.4316616225131</v>
      </c>
      <c r="C22" s="7"/>
    </row>
    <row r="23" customFormat="false" ht="15" hidden="false" customHeight="false" outlineLevel="0" collapsed="false">
      <c r="A23" s="0" t="s">
        <v>267</v>
      </c>
      <c r="B23" s="40" t="n">
        <f aca="false">Assumptions!$B$7/Assumptions!$B$20</f>
        <v>37.1491841491842</v>
      </c>
      <c r="C23" s="7" t="s">
        <v>268</v>
      </c>
    </row>
    <row r="24" customFormat="false" ht="15" hidden="false" customHeight="false" outlineLevel="0" collapsed="false">
      <c r="A24" s="0" t="s">
        <v>269</v>
      </c>
      <c r="B24" s="40" t="n">
        <f aca="false">Assumptions!$B$7/Quarterly!B15</f>
        <v>55.5296167247387</v>
      </c>
      <c r="C24" s="7" t="s">
        <v>270</v>
      </c>
    </row>
    <row r="25" customFormat="false" ht="15" hidden="false" customHeight="false" outlineLevel="0" collapsed="false">
      <c r="A25" s="0" t="s">
        <v>271</v>
      </c>
      <c r="B25" s="40" t="n">
        <f aca="false">Assumptions!$B$10/Financials!D17</f>
        <v>18.8571428571429</v>
      </c>
      <c r="C25" s="7" t="s">
        <v>272</v>
      </c>
    </row>
    <row r="26" customFormat="false" ht="15" hidden="false" customHeight="false" outlineLevel="0" collapsed="false">
      <c r="C26" s="7"/>
    </row>
    <row r="27" customFormat="false" ht="15" hidden="false" customHeight="false" outlineLevel="0" collapsed="false">
      <c r="A27" s="0" t="s">
        <v>273</v>
      </c>
      <c r="B27" s="25" t="n">
        <f aca="false">Assumptions!$B$7/Assumptions!$B$60</f>
        <v>5.90259259259259</v>
      </c>
      <c r="C27" s="7" t="s">
        <v>274</v>
      </c>
    </row>
    <row r="28" customFormat="false" ht="15" hidden="false" customHeight="false" outlineLevel="0" collapsed="false">
      <c r="A28" s="0" t="s">
        <v>275</v>
      </c>
      <c r="B28" s="26" t="n">
        <f aca="false">B27*Financials!G16-Financials!G12-Financials!G13</f>
        <v>3.87452633259259</v>
      </c>
      <c r="C28" s="7"/>
    </row>
    <row r="29" customFormat="false" ht="15" hidden="false" customHeight="false" outlineLevel="0" collapsed="false">
      <c r="A29" s="0" t="s">
        <v>276</v>
      </c>
      <c r="B29" s="26" t="n">
        <f aca="false">B28/Scenarios!E6</f>
        <v>16.1438597191358</v>
      </c>
      <c r="C29" s="7" t="s">
        <v>277</v>
      </c>
    </row>
    <row r="30" customFormat="false" ht="15" hidden="false" customHeight="false" outlineLevel="0" collapsed="false">
      <c r="A30" s="0" t="s">
        <v>278</v>
      </c>
      <c r="B30" s="44" t="n">
        <f aca="false">B29/Financials!D5</f>
        <v>2.57313671009496</v>
      </c>
      <c r="C30" s="7" t="s">
        <v>279</v>
      </c>
    </row>
    <row r="31" customFormat="false" ht="15" hidden="false" customHeight="false" outlineLevel="0" collapsed="false">
      <c r="A31" s="0" t="s">
        <v>280</v>
      </c>
      <c r="B31" s="28" t="n">
        <f aca="false">(B29/Financials!E5)^0.5-1</f>
        <v>0.378304976426262</v>
      </c>
      <c r="C31" s="7"/>
    </row>
    <row r="32" customFormat="false" ht="15" hidden="false" customHeight="false" outlineLevel="0" collapsed="false">
      <c r="A32" s="0" t="s">
        <v>281</v>
      </c>
      <c r="B32" s="25" t="n">
        <f aca="false">B7/1.15</f>
        <v>127.132830037719</v>
      </c>
      <c r="C32" s="7" t="s">
        <v>282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2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4"/>
    <col collapsed="false" customWidth="true" hidden="false" outlineLevel="0" max="2" min="2" style="0" width="16"/>
    <col collapsed="false" customWidth="true" hidden="false" outlineLevel="0" max="3" min="3" style="0" width="70"/>
  </cols>
  <sheetData>
    <row r="1" customFormat="false" ht="15" hidden="false" customHeight="false" outlineLevel="0" collapsed="false">
      <c r="A1" s="1" t="s">
        <v>283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244</v>
      </c>
      <c r="B4" s="4" t="s">
        <v>3</v>
      </c>
      <c r="C4" s="4" t="s">
        <v>245</v>
      </c>
    </row>
    <row r="5" customFormat="false" ht="15" hidden="false" customHeight="false" outlineLevel="0" collapsed="false">
      <c r="A5" s="0" t="s">
        <v>284</v>
      </c>
      <c r="B5" s="26" t="n">
        <f aca="false">Financials!D23</f>
        <v>1.282</v>
      </c>
      <c r="C5" s="7" t="s">
        <v>285</v>
      </c>
    </row>
    <row r="6" customFormat="false" ht="15" hidden="false" customHeight="false" outlineLevel="0" collapsed="false">
      <c r="A6" s="0" t="s">
        <v>286</v>
      </c>
      <c r="B6" s="26" t="n">
        <f aca="false">Assumptions!$B$39</f>
        <v>2</v>
      </c>
      <c r="C6" s="7" t="s">
        <v>287</v>
      </c>
    </row>
    <row r="7" customFormat="false" ht="15" hidden="false" customHeight="false" outlineLevel="0" collapsed="false">
      <c r="A7" s="0" t="s">
        <v>288</v>
      </c>
      <c r="B7" s="36" t="n">
        <f aca="false">B6/B5-1</f>
        <v>0.5600624024961</v>
      </c>
      <c r="C7" s="7"/>
    </row>
    <row r="8" customFormat="false" ht="15" hidden="false" customHeight="false" outlineLevel="0" collapsed="false">
      <c r="A8" s="0" t="s">
        <v>114</v>
      </c>
      <c r="B8" s="26" t="n">
        <f aca="false">Assumptions!$B$40</f>
        <v>0.754</v>
      </c>
      <c r="C8" s="7"/>
    </row>
    <row r="9" customFormat="false" ht="15" hidden="false" customHeight="false" outlineLevel="0" collapsed="false">
      <c r="A9" s="0" t="s">
        <v>289</v>
      </c>
      <c r="B9" s="26" t="n">
        <f aca="false">B6-B8</f>
        <v>1.246</v>
      </c>
      <c r="C9" s="7" t="s">
        <v>290</v>
      </c>
    </row>
    <row r="10" customFormat="false" ht="15" hidden="false" customHeight="false" outlineLevel="0" collapsed="false">
      <c r="A10" s="0" t="s">
        <v>115</v>
      </c>
      <c r="B10" s="26" t="n">
        <f aca="false">Assumptions!$B$41</f>
        <v>1.611</v>
      </c>
      <c r="C10" s="7"/>
    </row>
    <row r="11" customFormat="false" ht="15" hidden="false" customHeight="false" outlineLevel="0" collapsed="false">
      <c r="A11" s="0" t="s">
        <v>291</v>
      </c>
      <c r="B11" s="26" t="n">
        <f aca="false">Assumptions!$B$42</f>
        <v>0.709</v>
      </c>
      <c r="C11" s="7" t="s">
        <v>292</v>
      </c>
    </row>
    <row r="12" customFormat="false" ht="15" hidden="false" customHeight="false" outlineLevel="0" collapsed="false">
      <c r="A12" s="0" t="s">
        <v>293</v>
      </c>
      <c r="B12" s="26" t="n">
        <f aca="false">B10-B11</f>
        <v>0.902</v>
      </c>
      <c r="C12" s="7"/>
    </row>
    <row r="13" customFormat="false" ht="15" hidden="false" customHeight="false" outlineLevel="0" collapsed="false">
      <c r="A13" s="0" t="s">
        <v>119</v>
      </c>
      <c r="B13" s="26" t="n">
        <f aca="false">Assumptions!$B$43</f>
        <v>0.495</v>
      </c>
      <c r="C13" s="7"/>
    </row>
    <row r="14" customFormat="false" ht="15" hidden="false" customHeight="false" outlineLevel="0" collapsed="false">
      <c r="A14" s="0" t="s">
        <v>74</v>
      </c>
      <c r="B14" s="26" t="n">
        <f aca="false">Assumptions!$B$17</f>
        <v>0.668</v>
      </c>
      <c r="C14" s="7"/>
    </row>
    <row r="15" customFormat="false" ht="15" hidden="false" customHeight="false" outlineLevel="0" collapsed="false">
      <c r="A15" s="0" t="s">
        <v>69</v>
      </c>
      <c r="B15" s="26" t="n">
        <f aca="false">Assumptions!$B$15</f>
        <v>2.504</v>
      </c>
      <c r="C15" s="7" t="s">
        <v>294</v>
      </c>
    </row>
    <row r="17" customFormat="false" ht="15" hidden="false" customHeight="false" outlineLevel="0" collapsed="false">
      <c r="A17" s="0" t="s">
        <v>295</v>
      </c>
      <c r="B17" s="26" t="n">
        <f aca="false">Assumptions!$B$38</f>
        <v>2</v>
      </c>
      <c r="C17" s="7" t="s">
        <v>296</v>
      </c>
    </row>
    <row r="18" customFormat="false" ht="15" hidden="false" customHeight="false" outlineLevel="0" collapsed="false">
      <c r="A18" s="0" t="s">
        <v>297</v>
      </c>
      <c r="B18" s="29" t="n">
        <f aca="false">Assumptions!$B$38/Assumptions!$B$7</f>
        <v>0.0125494133149275</v>
      </c>
      <c r="C18" s="7"/>
    </row>
    <row r="19" customFormat="false" ht="15" hidden="false" customHeight="false" outlineLevel="0" collapsed="false">
      <c r="A19" s="0" t="s">
        <v>298</v>
      </c>
      <c r="B19" s="43" t="n">
        <f aca="false">B18/Assumptions!$B$13</f>
        <v>0.0145688276536561</v>
      </c>
      <c r="C19" s="7"/>
    </row>
    <row r="20" customFormat="false" ht="15" hidden="false" customHeight="false" outlineLevel="0" collapsed="false">
      <c r="A20" s="0" t="s">
        <v>299</v>
      </c>
      <c r="B20" s="28" t="n">
        <f aca="false">Assumptions!$B$12/Assumptions!$B$11-1</f>
        <v>-0.137019230769231</v>
      </c>
      <c r="C20" s="7"/>
    </row>
    <row r="22" customFormat="false" ht="15" hidden="false" customHeight="false" outlineLevel="0" collapsed="false">
      <c r="A22" s="0" t="s">
        <v>300</v>
      </c>
      <c r="B22" s="26" t="n">
        <f aca="false">Assumptions!$B$44</f>
        <v>1</v>
      </c>
      <c r="C22" s="7" t="s">
        <v>301</v>
      </c>
    </row>
    <row r="23" customFormat="false" ht="15" hidden="false" customHeight="false" outlineLevel="0" collapsed="false">
      <c r="A23" s="0" t="s">
        <v>302</v>
      </c>
      <c r="B23" s="29" t="n">
        <f aca="false">Assumptions!$B$45</f>
        <v>0.296</v>
      </c>
      <c r="C23" s="7" t="s">
        <v>303</v>
      </c>
    </row>
    <row r="24" customFormat="false" ht="15" hidden="false" customHeight="false" outlineLevel="0" collapsed="false">
      <c r="A24" s="0" t="s">
        <v>304</v>
      </c>
      <c r="B24" s="36" t="n">
        <f aca="false">B23/B22</f>
        <v>0.296</v>
      </c>
      <c r="C24" s="7" t="s">
        <v>305</v>
      </c>
    </row>
    <row r="27" customFormat="false" ht="15" hidden="false" customHeight="false" outlineLevel="0" collapsed="false">
      <c r="A27" s="12" t="s">
        <v>306</v>
      </c>
    </row>
    <row r="28" customFormat="false" ht="15" hidden="false" customHeight="false" outlineLevel="0" collapsed="false">
      <c r="A28" s="12" t="s">
        <v>307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1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4"/>
    <col collapsed="false" customWidth="true" hidden="false" outlineLevel="0" max="4" min="2" style="0" width="14"/>
  </cols>
  <sheetData>
    <row r="1" customFormat="false" ht="15" hidden="false" customHeight="false" outlineLevel="0" collapsed="false">
      <c r="A1" s="1" t="s">
        <v>308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309</v>
      </c>
      <c r="B4" s="45" t="n">
        <v>22</v>
      </c>
      <c r="C4" s="45" t="n">
        <f aca="false">Assumptions!$B$60</f>
        <v>27</v>
      </c>
      <c r="D4" s="45" t="n">
        <v>32</v>
      </c>
    </row>
    <row r="5" customFormat="false" ht="15" hidden="false" customHeight="false" outlineLevel="0" collapsed="false">
      <c r="A5" s="46" t="n">
        <v>4.6</v>
      </c>
      <c r="B5" s="47" t="n">
        <f aca="false">$A5*B$4</f>
        <v>101.2</v>
      </c>
      <c r="C5" s="47" t="n">
        <f aca="false">$A5*C$4</f>
        <v>124.2</v>
      </c>
      <c r="D5" s="47" t="n">
        <f aca="false">$A5*D$4</f>
        <v>147.2</v>
      </c>
    </row>
    <row r="6" customFormat="false" ht="15" hidden="false" customHeight="false" outlineLevel="0" collapsed="false">
      <c r="A6" s="48" t="n">
        <f aca="false">Financials!G17</f>
        <v>5.41491683493987</v>
      </c>
      <c r="B6" s="47" t="n">
        <f aca="false">$A6*B$4</f>
        <v>119.128170368677</v>
      </c>
      <c r="C6" s="49" t="n">
        <f aca="false">$A6*C$4</f>
        <v>146.202754543376</v>
      </c>
      <c r="D6" s="47" t="n">
        <f aca="false">$A6*D$4</f>
        <v>173.277338718076</v>
      </c>
    </row>
    <row r="7" customFormat="false" ht="15" hidden="false" customHeight="false" outlineLevel="0" collapsed="false">
      <c r="A7" s="46" t="n">
        <v>6.2</v>
      </c>
      <c r="B7" s="47" t="n">
        <f aca="false">$A7*B$4</f>
        <v>136.4</v>
      </c>
      <c r="C7" s="47" t="n">
        <f aca="false">$A7*C$4</f>
        <v>167.4</v>
      </c>
      <c r="D7" s="47" t="n">
        <f aca="false">$A7*D$4</f>
        <v>198.4</v>
      </c>
    </row>
    <row r="9" customFormat="false" ht="15" hidden="false" customHeight="false" outlineLevel="0" collapsed="false">
      <c r="A9" s="5" t="s">
        <v>310</v>
      </c>
      <c r="B9" s="0" t="n">
        <f aca="false">COUNTIF(B5:D7,"&gt;"&amp;Assumptions!$B$7)</f>
        <v>3</v>
      </c>
      <c r="C9" s="0" t="s">
        <v>311</v>
      </c>
    </row>
    <row r="11" customFormat="false" ht="15" hidden="false" customHeight="false" outlineLevel="0" collapsed="false">
      <c r="A11" s="12" t="s">
        <v>312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8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6"/>
    <col collapsed="false" customWidth="true" hidden="false" outlineLevel="0" max="2" min="2" style="0" width="16"/>
    <col collapsed="false" customWidth="true" hidden="false" outlineLevel="0" max="3" min="3" style="0" width="14"/>
    <col collapsed="false" customWidth="true" hidden="false" outlineLevel="0" max="4" min="4" style="0" width="80"/>
  </cols>
  <sheetData>
    <row r="1" customFormat="false" ht="15" hidden="false" customHeight="false" outlineLevel="0" collapsed="false">
      <c r="A1" s="1" t="s">
        <v>313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314</v>
      </c>
      <c r="B4" s="4" t="s">
        <v>315</v>
      </c>
      <c r="C4" s="4" t="s">
        <v>316</v>
      </c>
      <c r="D4" s="4" t="s">
        <v>317</v>
      </c>
    </row>
    <row r="5" customFormat="false" ht="15" hidden="false" customHeight="false" outlineLevel="0" collapsed="false">
      <c r="A5" s="5" t="s">
        <v>318</v>
      </c>
      <c r="B5" s="0" t="s">
        <v>319</v>
      </c>
      <c r="C5" s="50" t="n">
        <f aca="false">Assumptions!$B$22</f>
        <v>43.03</v>
      </c>
      <c r="D5" s="7" t="s">
        <v>320</v>
      </c>
    </row>
    <row r="6" customFormat="false" ht="15" hidden="false" customHeight="false" outlineLevel="0" collapsed="false">
      <c r="A6" s="21" t="s">
        <v>321</v>
      </c>
      <c r="B6" s="0" t="s">
        <v>322</v>
      </c>
      <c r="C6" s="51" t="n">
        <v>23.48</v>
      </c>
      <c r="D6" s="7" t="s">
        <v>323</v>
      </c>
    </row>
    <row r="7" customFormat="false" ht="15" hidden="false" customHeight="false" outlineLevel="0" collapsed="false">
      <c r="A7" s="21" t="s">
        <v>324</v>
      </c>
      <c r="B7" s="0" t="s">
        <v>325</v>
      </c>
      <c r="C7" s="51" t="n">
        <v>28.92</v>
      </c>
      <c r="D7" s="7" t="s">
        <v>326</v>
      </c>
    </row>
    <row r="8" customFormat="false" ht="15" hidden="false" customHeight="false" outlineLevel="0" collapsed="false">
      <c r="A8" s="21" t="s">
        <v>327</v>
      </c>
      <c r="B8" s="0" t="s">
        <v>328</v>
      </c>
      <c r="C8" s="51" t="n">
        <v>21.43</v>
      </c>
      <c r="D8" s="7" t="s">
        <v>329</v>
      </c>
    </row>
    <row r="9" customFormat="false" ht="15" hidden="false" customHeight="false" outlineLevel="0" collapsed="false">
      <c r="A9" s="21" t="s">
        <v>330</v>
      </c>
      <c r="B9" s="0" t="s">
        <v>331</v>
      </c>
      <c r="C9" s="51" t="n">
        <v>29.43</v>
      </c>
      <c r="D9" s="7" t="s">
        <v>332</v>
      </c>
    </row>
    <row r="10" customFormat="false" ht="15" hidden="false" customHeight="false" outlineLevel="0" collapsed="false">
      <c r="A10" s="21" t="s">
        <v>333</v>
      </c>
      <c r="B10" s="0" t="s">
        <v>334</v>
      </c>
      <c r="C10" s="51" t="n">
        <v>37.51</v>
      </c>
      <c r="D10" s="7" t="s">
        <v>335</v>
      </c>
    </row>
    <row r="11" customFormat="false" ht="15" hidden="false" customHeight="false" outlineLevel="0" collapsed="false">
      <c r="A11" s="21" t="s">
        <v>336</v>
      </c>
      <c r="B11" s="0" t="s">
        <v>337</v>
      </c>
      <c r="C11" s="51" t="n">
        <v>35.42</v>
      </c>
      <c r="D11" s="7" t="s">
        <v>338</v>
      </c>
    </row>
    <row r="12" customFormat="false" ht="15" hidden="false" customHeight="false" outlineLevel="0" collapsed="false">
      <c r="A12" s="21" t="s">
        <v>339</v>
      </c>
      <c r="B12" s="0" t="s">
        <v>340</v>
      </c>
      <c r="C12" s="51" t="n">
        <v>50.12</v>
      </c>
      <c r="D12" s="7" t="s">
        <v>341</v>
      </c>
    </row>
    <row r="14" customFormat="false" ht="15" hidden="false" customHeight="false" outlineLevel="0" collapsed="false">
      <c r="A14" s="0" t="s">
        <v>342</v>
      </c>
      <c r="C14" s="40" t="n">
        <f aca="false">MEDIAN(C6:C8)</f>
        <v>23.48</v>
      </c>
    </row>
    <row r="15" customFormat="false" ht="15" hidden="false" customHeight="false" outlineLevel="0" collapsed="false">
      <c r="A15" s="0" t="s">
        <v>343</v>
      </c>
      <c r="C15" s="40" t="n">
        <f aca="false">MEDIAN(C6:C12)</f>
        <v>29.43</v>
      </c>
    </row>
    <row r="17" customFormat="false" ht="15" hidden="false" customHeight="false" outlineLevel="0" collapsed="false">
      <c r="A17" s="12" t="s">
        <v>344</v>
      </c>
    </row>
    <row r="18" customFormat="false" ht="15" hidden="false" customHeight="false" outlineLevel="0" collapsed="false">
      <c r="A18" s="12" t="s">
        <v>345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6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4" topLeftCell="A5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6"/>
    <col collapsed="false" customWidth="true" hidden="false" outlineLevel="0" max="2" min="2" style="0" width="130"/>
  </cols>
  <sheetData>
    <row r="1" customFormat="false" ht="15" hidden="false" customHeight="false" outlineLevel="0" collapsed="false">
      <c r="A1" s="1" t="s">
        <v>346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347</v>
      </c>
      <c r="B4" s="4" t="s">
        <v>348</v>
      </c>
    </row>
    <row r="5" customFormat="false" ht="23.85" hidden="false" customHeight="false" outlineLevel="0" collapsed="false">
      <c r="A5" s="0" t="n">
        <v>1</v>
      </c>
      <c r="B5" s="7" t="s">
        <v>349</v>
      </c>
    </row>
    <row r="6" customFormat="false" ht="23.85" hidden="false" customHeight="false" outlineLevel="0" collapsed="false">
      <c r="A6" s="0" t="n">
        <v>2</v>
      </c>
      <c r="B6" s="7" t="s">
        <v>350</v>
      </c>
    </row>
    <row r="7" customFormat="false" ht="23.85" hidden="false" customHeight="false" outlineLevel="0" collapsed="false">
      <c r="A7" s="0" t="n">
        <v>3</v>
      </c>
      <c r="B7" s="7" t="s">
        <v>351</v>
      </c>
    </row>
    <row r="8" customFormat="false" ht="23.85" hidden="false" customHeight="false" outlineLevel="0" collapsed="false">
      <c r="A8" s="0" t="n">
        <v>4</v>
      </c>
      <c r="B8" s="7" t="s">
        <v>352</v>
      </c>
    </row>
    <row r="9" customFormat="false" ht="23.85" hidden="false" customHeight="false" outlineLevel="0" collapsed="false">
      <c r="A9" s="0" t="n">
        <v>5</v>
      </c>
      <c r="B9" s="7" t="s">
        <v>353</v>
      </c>
    </row>
    <row r="10" customFormat="false" ht="23.85" hidden="false" customHeight="false" outlineLevel="0" collapsed="false">
      <c r="A10" s="0" t="n">
        <v>6</v>
      </c>
      <c r="B10" s="7" t="s">
        <v>354</v>
      </c>
    </row>
    <row r="11" customFormat="false" ht="23.85" hidden="false" customHeight="false" outlineLevel="0" collapsed="false">
      <c r="A11" s="0" t="n">
        <v>7</v>
      </c>
      <c r="B11" s="7" t="s">
        <v>355</v>
      </c>
    </row>
    <row r="12" customFormat="false" ht="15" hidden="false" customHeight="false" outlineLevel="0" collapsed="false">
      <c r="A12" s="0" t="n">
        <v>8</v>
      </c>
      <c r="B12" s="7" t="s">
        <v>356</v>
      </c>
    </row>
    <row r="13" customFormat="false" ht="23.85" hidden="false" customHeight="false" outlineLevel="0" collapsed="false">
      <c r="A13" s="0" t="n">
        <v>9</v>
      </c>
      <c r="B13" s="7" t="s">
        <v>357</v>
      </c>
    </row>
    <row r="14" customFormat="false" ht="23.85" hidden="false" customHeight="false" outlineLevel="0" collapsed="false">
      <c r="A14" s="0" t="n">
        <v>10</v>
      </c>
      <c r="B14" s="7" t="s">
        <v>358</v>
      </c>
    </row>
    <row r="15" customFormat="false" ht="15" hidden="false" customHeight="false" outlineLevel="0" collapsed="false">
      <c r="A15" s="0" t="n">
        <v>11</v>
      </c>
      <c r="B15" s="7" t="s">
        <v>359</v>
      </c>
    </row>
    <row r="16" customFormat="false" ht="15" hidden="false" customHeight="false" outlineLevel="0" collapsed="false">
      <c r="A16" s="0" t="n">
        <v>12</v>
      </c>
      <c r="B16" s="7" t="s">
        <v>360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2026-10-06T13:47:19Z</dcterms:created>
  <dc:creator>openpyxl</dc:creator>
  <dc:description/>
  <dc:language>en-GB</dc:language>
  <cp:lastModifiedBy/>
  <dcterms:modified xsi:type="dcterms:W3CDTF">2026-10-06T13:47:19Z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