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6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ver" sheetId="1" state="visible" r:id="rId3"/>
    <sheet name="Assumptions" sheetId="2" state="visible" r:id="rId4"/>
    <sheet name="Quarterly" sheetId="3" state="visible" r:id="rId5"/>
    <sheet name="Financials" sheetId="4" state="visible" r:id="rId6"/>
    <sheet name="Scenarios" sheetId="5" state="visible" r:id="rId7"/>
    <sheet name="Valuation" sheetId="6" state="visible" r:id="rId8"/>
    <sheet name="Sensitivity" sheetId="7" state="visible" r:id="rId9"/>
    <sheet name="Peers" sheetId="8" state="visible" r:id="rId10"/>
    <sheet name="Sources" sheetId="9" state="visible" r:id="rId11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<sst xmlns="http://schemas.openxmlformats.org/spreadsheetml/2006/main" count="422" uniqueCount="344">
  <si>
    <t xml:space="preserve">BROADCOM INC. (NASDAQ: AVGO)  INITIATION MODEL</t>
  </si>
  <si>
    <t xml:space="preserve">Tommy Lau | Broadcom Inc. (Nasdaq: AVGO) | 6 October 2026 | Non-GAAP basis; FY26 ends 1 Nov 2026, FY27 about 31 Oct 2027 | Personal research, not investment advice.</t>
  </si>
  <si>
    <t xml:space="preserve">Item</t>
  </si>
  <si>
    <t xml:space="preserve">Value</t>
  </si>
  <si>
    <t xml:space="preserve">Note</t>
  </si>
  <si>
    <t xml:space="preserve">Call</t>
  </si>
  <si>
    <t xml:space="preserve">Tommy Lau's call.</t>
  </si>
  <si>
    <t xml:space="preserve">Target, US$</t>
  </si>
  <si>
    <t xml:space="preserve">Base value rounded to the nearest US$5.</t>
  </si>
  <si>
    <t xml:space="preserve">Conviction</t>
  </si>
  <si>
    <t xml:space="preserve">Medium</t>
  </si>
  <si>
    <t xml:space="preserve">Judgement, not formula.</t>
  </si>
  <si>
    <t xml:space="preserve">Reference price, US$</t>
  </si>
  <si>
    <t xml:space="preserve">Nasdaq close, 5 October 2026.</t>
  </si>
  <si>
    <t xml:space="preserve">Base value, US$</t>
  </si>
  <si>
    <t xml:space="preserve">Sum of the parts on FY28E: chips at 20x and software at 17x after-tax operating profit, less net debt.</t>
  </si>
  <si>
    <t xml:space="preserve">Base value against the price</t>
  </si>
  <si>
    <t xml:space="preserve">Probability-weighted value, US$</t>
  </si>
  <si>
    <t xml:space="preserve">25 / 50 / 25 bear / base / bull.</t>
  </si>
  <si>
    <t xml:space="preserve">FY26E / FY27E / FY28E EPS, US$</t>
  </si>
  <si>
    <t xml:space="preserve">Own estimates, non-GAAP, diluted.</t>
  </si>
  <si>
    <t xml:space="preserve">Horizon</t>
  </si>
  <si>
    <t xml:space="preserve">12 months, to October 2027</t>
  </si>
  <si>
    <t xml:space="preserve">Wrong if</t>
  </si>
  <si>
    <t xml:space="preserve">See note</t>
  </si>
  <si>
    <t xml:space="preserve">The shares close below US$270 by October 2027, or Broadcom cuts its fiscal 2027 AI revenue outlook below US$100 billion, or it makes a payment under its Backstop for a customer's AI rack leases.</t>
  </si>
  <si>
    <t xml:space="preserve">Tabs</t>
  </si>
  <si>
    <t xml:space="preserve">Assumptions</t>
  </si>
  <si>
    <t xml:space="preserve">Every input, with its source. Change the yellow cells to move the value.</t>
  </si>
  <si>
    <t xml:space="preserve">Quarterly</t>
  </si>
  <si>
    <t xml:space="preserve">Q1 FY25 to Q3 FY26 reported, the Q4 FY26 guide, and the AI, networking and margin tests.</t>
  </si>
  <si>
    <t xml:space="preserve">Financials</t>
  </si>
  <si>
    <t xml:space="preserve">FY24A to FY28E by part: AI, non-AI chips, software; margins, EPS, P/E, consensus.</t>
  </si>
  <si>
    <t xml:space="preserve">Scenarios</t>
  </si>
  <si>
    <t xml:space="preserve">Bear / base / bull sum of the parts and the probability-weighted value.</t>
  </si>
  <si>
    <t xml:space="preserve">Valuation</t>
  </si>
  <si>
    <t xml:space="preserve">Base value, net debt, market value, multiples, what the price needs.</t>
  </si>
  <si>
    <t xml:space="preserve">Sensitivity</t>
  </si>
  <si>
    <t xml:space="preserve">FY28 AI revenue against the chip multiple.</t>
  </si>
  <si>
    <t xml:space="preserve">Peers</t>
  </si>
  <si>
    <t xml:space="preserve">Forward multiples used to set the chip and software multiples.</t>
  </si>
  <si>
    <t xml:space="preserve">Sources</t>
  </si>
  <si>
    <t xml:space="preserve">Every source used.</t>
  </si>
  <si>
    <t xml:space="preserve">Colour key: blue = hardcoded input; yellow fill = my own assumption; green = link to another tab; black = formula.</t>
  </si>
  <si>
    <t xml:space="preserve">Companion note: 2026-10-06_Broadcom_Initiation.pdf. Personal research, not investment advice.</t>
  </si>
  <si>
    <t xml:space="preserve">ASSUMPTIONS AND INPUTS</t>
  </si>
  <si>
    <t xml:space="preserve">Blue = hardcoded input. Yellow fill = my own assumption (change these to move the value). Green = link to another tab. Black = formula. US$ billion unless stated; per-share figures in US$; shares in billions.</t>
  </si>
  <si>
    <t xml:space="preserve">Input</t>
  </si>
  <si>
    <t xml:space="preserve">Unit</t>
  </si>
  <si>
    <t xml:space="preserve">Source / note</t>
  </si>
  <si>
    <t xml:space="preserve">MARKET (retrieved 6 October 2026)</t>
  </si>
  <si>
    <t xml:space="preserve">Share price (Nasdaq: AVGO)</t>
  </si>
  <si>
    <t xml:space="preserve">US$</t>
  </si>
  <si>
    <t xml:space="preserve">Nasdaq close, 5 October 2026. Nasdaq.com historical data (Yahoo Finance refused requests on 6 Oct).</t>
  </si>
  <si>
    <t xml:space="preserve">52-week high (intraday, 3 June 2026)</t>
  </si>
  <si>
    <t xml:space="preserve">Nasdaq.com.</t>
  </si>
  <si>
    <t xml:space="preserve">Highest close (2 June 2026)</t>
  </si>
  <si>
    <t xml:space="preserve">52-week low (intraday, 30 March 2026)</t>
  </si>
  <si>
    <t xml:space="preserve">Lowest close (30 March 2026)</t>
  </si>
  <si>
    <t xml:space="preserve">Close, 31 Dec 2025</t>
  </si>
  <si>
    <t xml:space="preserve">Close, 1 Oct 2026 (last close before the journal piece)</t>
  </si>
  <si>
    <t xml:space="preserve">Nasdaq.com. The piece went live at 12:05 SGT on 2 October.</t>
  </si>
  <si>
    <t xml:space="preserve">Common shares outstanding, 2 Aug 2026</t>
  </si>
  <si>
    <t xml:space="preserve">bn</t>
  </si>
  <si>
    <t xml:space="preserve">10-Q balance sheet: 4,774 million issued and outstanding.</t>
  </si>
  <si>
    <t xml:space="preserve">Cash and cash equivalents, 2 Aug 2026</t>
  </si>
  <si>
    <t xml:space="preserve">US$bn</t>
  </si>
  <si>
    <t xml:space="preserve">Q3 FY26 release balance sheet.</t>
  </si>
  <si>
    <t xml:space="preserve">Short-term debt, 2 Aug 2026</t>
  </si>
  <si>
    <t xml:space="preserve">Same.</t>
  </si>
  <si>
    <t xml:space="preserve">Long-term debt, 2 Aug 2026</t>
  </si>
  <si>
    <t xml:space="preserve">FY26 consensus EPS</t>
  </si>
  <si>
    <t xml:space="preserve">stockanalysis.com (S&amp;P Global, updated 2 Oct 2026), 40 analysts; range 11.35 to 12.38.</t>
  </si>
  <si>
    <t xml:space="preserve">FY27 consensus EPS</t>
  </si>
  <si>
    <t xml:space="preserve">stockanalysis.com (S&amp;P Global). FY28 consensus not verified.</t>
  </si>
  <si>
    <t xml:space="preserve">FY27 consensus revenue</t>
  </si>
  <si>
    <t xml:space="preserve">stockanalysis.com (S&amp;P Global).</t>
  </si>
  <si>
    <t xml:space="preserve">Average analyst target</t>
  </si>
  <si>
    <t xml:space="preserve">stockanalysis.com, 50 analysts; range 215.88 to 715.</t>
  </si>
  <si>
    <t xml:space="preserve">Forward P/E shown by stockanalysis.com</t>
  </si>
  <si>
    <t xml:space="preserve">x</t>
  </si>
  <si>
    <t xml:space="preserve">stockanalysis.com, 6 October 2026.</t>
  </si>
  <si>
    <t xml:space="preserve">REPORTED AND GUIDED (Broadcom releases, 10-Q, calls)</t>
  </si>
  <si>
    <t xml:space="preserve">Q4 FY26 revenue guide</t>
  </si>
  <si>
    <t xml:space="preserve">Release of 2 September 2026: approximately US$34.8bn.</t>
  </si>
  <si>
    <t xml:space="preserve">Q4 FY26 AI semiconductor revenue guide</t>
  </si>
  <si>
    <t xml:space="preserve">Same: US$21.7bn.</t>
  </si>
  <si>
    <t xml:space="preserve">Q4 FY26 semiconductor revenue guide</t>
  </si>
  <si>
    <t xml:space="preserve">Call of 2 September 2026: approximately US$26.1bn.</t>
  </si>
  <si>
    <t xml:space="preserve">Q4 FY26 non-AI semiconductor revenue guide</t>
  </si>
  <si>
    <t xml:space="preserve">Call of 2 September 2026: approximately US$4.3bn.</t>
  </si>
  <si>
    <t xml:space="preserve">Q4 FY26 infrastructure software guide</t>
  </si>
  <si>
    <t xml:space="preserve">Same: approximately US$8.7bn.</t>
  </si>
  <si>
    <t xml:space="preserve">Q4 FY26 non-GAAP operating margin guide</t>
  </si>
  <si>
    <t xml:space="preserve">%</t>
  </si>
  <si>
    <t xml:space="preserve">Release: approximately 66% of revenue.</t>
  </si>
  <si>
    <t xml:space="preserve">Q4 FY26 gross margin guide</t>
  </si>
  <si>
    <t xml:space="preserve">Call: approximately 73%.</t>
  </si>
  <si>
    <t xml:space="preserve">Non-GAAP tax rate, Q4 and FY26</t>
  </si>
  <si>
    <t xml:space="preserve">Call: approximately 16% (global minimum tax).</t>
  </si>
  <si>
    <t xml:space="preserve">Q4 FY26 non-GAAP diluted shares</t>
  </si>
  <si>
    <t xml:space="preserve">Call: approximately 4.94 billion.</t>
  </si>
  <si>
    <t xml:space="preserve">FY27 AI revenue outlook</t>
  </si>
  <si>
    <t xml:space="preserve">Call: secured the supply to double AI revenue to approximately US$115bn.</t>
  </si>
  <si>
    <t xml:space="preserve">FY28 AI revenue outlook</t>
  </si>
  <si>
    <t xml:space="preserve">Call: line of sight to US$230bn; supply secured for it too.</t>
  </si>
  <si>
    <t xml:space="preserve">FY28 EPS management expects to exceed</t>
  </si>
  <si>
    <t xml:space="preserve">Call: on target to exceed US$30 in FY28.</t>
  </si>
  <si>
    <t xml:space="preserve">Semiconductor segment operating income, Q3 FY26</t>
  </si>
  <si>
    <t xml:space="preserve">10-Q segment table.</t>
  </si>
  <si>
    <t xml:space="preserve">Infrastructure software operating income, Q3 FY26</t>
  </si>
  <si>
    <t xml:space="preserve">Maximum potential liability under the Backstop</t>
  </si>
  <si>
    <t xml:space="preserve">10-Q: approximately US$29bn, undiscounted, upon deployment of all racks.</t>
  </si>
  <si>
    <t xml:space="preserve">Convertible notes the customer may issue to Broadcom</t>
  </si>
  <si>
    <t xml:space="preserve">10-Q: up to US$42bn; none issued at 2 Aug 2026.</t>
  </si>
  <si>
    <t xml:space="preserve">Unconditional purchase commitments falling in FY28</t>
  </si>
  <si>
    <t xml:space="preserve">10-Q: US$72.952bn (FY27 US$52.674bn; total US$126.821bn).</t>
  </si>
  <si>
    <t xml:space="preserve">Networking share of AI revenue, Q3 FY26</t>
  </si>
  <si>
    <t xml:space="preserve">Call: XPU shipments 73% of AI revenue.</t>
  </si>
  <si>
    <t xml:space="preserve">MY ASSUMPTIONS</t>
  </si>
  <si>
    <t xml:space="preserve">Non-GAAP interest expense, Q4 FY26</t>
  </si>
  <si>
    <t xml:space="preserve">MINE. Q3 was US$0.703bn before US$1.5bn of notes repaid.</t>
  </si>
  <si>
    <t xml:space="preserve">Other income, Q4 FY26</t>
  </si>
  <si>
    <t xml:space="preserve">MINE. Q3 was US$0.098bn.</t>
  </si>
  <si>
    <t xml:space="preserve">Non-AI semiconductor revenue, FY27</t>
  </si>
  <si>
    <t xml:space="preserve">MINE. About 4% growth.</t>
  </si>
  <si>
    <t xml:space="preserve">Infrastructure software revenue, FY27</t>
  </si>
  <si>
    <t xml:space="preserve">MINE. About 7% growth; Q4 FY26 guided to stabilise at US$8.7bn.</t>
  </si>
  <si>
    <t xml:space="preserve">Semiconductor segment operating margin, FY27</t>
  </si>
  <si>
    <t xml:space="preserve">MINE. 61.3% in Q3 FY26; about 60% implied by the Q4 guide.</t>
  </si>
  <si>
    <t xml:space="preserve">Software segment operating margin, FY27 and FY28</t>
  </si>
  <si>
    <t xml:space="preserve">MINE. 83.7% in Q3 FY26; 80.5% over three quarters.</t>
  </si>
  <si>
    <t xml:space="preserve">Non-GAAP interest and other, net, FY27</t>
  </si>
  <si>
    <t xml:space="preserve">MINE.</t>
  </si>
  <si>
    <t xml:space="preserve">Non-GAAP tax rate, FY27 and FY28</t>
  </si>
  <si>
    <t xml:space="preserve">MINE: the FY26 guide held.</t>
  </si>
  <si>
    <t xml:space="preserve">Diluted shares, FY27 and FY28</t>
  </si>
  <si>
    <t xml:space="preserve">MINE: the Q4 guide held; buybacks offset dilution.</t>
  </si>
  <si>
    <t xml:space="preserve">AI revenue, FY28 (base)</t>
  </si>
  <si>
    <t xml:space="preserve">MINE. 17% below management's US$230bn: my judgement on customer credit and deployment risk.</t>
  </si>
  <si>
    <t xml:space="preserve">Non-AI semiconductor revenue, FY28</t>
  </si>
  <si>
    <t xml:space="preserve">Infrastructure software revenue, FY28</t>
  </si>
  <si>
    <t xml:space="preserve">MINE. About 6% growth.</t>
  </si>
  <si>
    <t xml:space="preserve">Semiconductor segment operating margin, FY28 (base)</t>
  </si>
  <si>
    <t xml:space="preserve">MINE. Memory-heavy racks dilute the margin.</t>
  </si>
  <si>
    <t xml:space="preserve">Non-GAAP interest and other, net, FY28</t>
  </si>
  <si>
    <t xml:space="preserve">Multiple on chip after-tax operating profit (base)</t>
  </si>
  <si>
    <t xml:space="preserve">MINE. Median forward P/E of five chip peers 20.7x (Peers tab), rounded down.</t>
  </si>
  <si>
    <t xml:space="preserve">Multiple on software after-tax operating profit (base)</t>
  </si>
  <si>
    <t xml:space="preserve">MINE. Median forward P/E of five software peers 17.4x (Peers tab).</t>
  </si>
  <si>
    <t xml:space="preserve">QUARTERLY HISTORY, Q1 FY25 TO Q3 FY26, AND THE Q4 FY26 GUIDE</t>
  </si>
  <si>
    <t xml:space="preserve">US$ billion unless stated</t>
  </si>
  <si>
    <t xml:space="preserve">Q1 FY25</t>
  </si>
  <si>
    <t xml:space="preserve">Q2 FY25</t>
  </si>
  <si>
    <t xml:space="preserve">Q3 FY25</t>
  </si>
  <si>
    <t xml:space="preserve">Q4 FY25</t>
  </si>
  <si>
    <t xml:space="preserve">Q1 FY26</t>
  </si>
  <si>
    <t xml:space="preserve">Q2 FY26</t>
  </si>
  <si>
    <t xml:space="preserve">Q3 FY26</t>
  </si>
  <si>
    <t xml:space="preserve">Q4 FY26E</t>
  </si>
  <si>
    <t xml:space="preserve">Revenue</t>
  </si>
  <si>
    <t xml:space="preserve">Semiconductor solutions (Q4: AI plus non-AI guides)</t>
  </si>
  <si>
    <t xml:space="preserve">  of which AI semiconductors</t>
  </si>
  <si>
    <t xml:space="preserve">  of which non-AI semiconductors (derived; Q4 guided)</t>
  </si>
  <si>
    <t xml:space="preserve">Infrastructure software</t>
  </si>
  <si>
    <t xml:space="preserve">AI share of revenue</t>
  </si>
  <si>
    <t xml:space="preserve">AI growth on a year earlier</t>
  </si>
  <si>
    <t xml:space="preserve">Networking share of AI revenue (where disclosed on calls)</t>
  </si>
  <si>
    <t xml:space="preserve">Gross margin, non-GAAP, US$bn</t>
  </si>
  <si>
    <t xml:space="preserve">Gross margin, non-GAAP</t>
  </si>
  <si>
    <t xml:space="preserve">Operating income, non-GAAP</t>
  </si>
  <si>
    <t xml:space="preserve">Operating margin, non-GAAP</t>
  </si>
  <si>
    <t xml:space="preserve">Net profit, non-GAAP</t>
  </si>
  <si>
    <t xml:space="preserve">Diluted shares, non-GAAP, bn</t>
  </si>
  <si>
    <t xml:space="preserve">Diluted EPS, US$ (reported; Q4 mine)</t>
  </si>
  <si>
    <t xml:space="preserve">Checks</t>
  </si>
  <si>
    <t xml:space="preserve">AI growth, Q3 FY26 on Q3 FY25</t>
  </si>
  <si>
    <t xml:space="preserve">AI share of revenue, Q3 FY26</t>
  </si>
  <si>
    <t xml:space="preserve">Custom accelerator revenue, Q3 FY26 (73% of AI)</t>
  </si>
  <si>
    <t xml:space="preserve">AI networking revenue, Q3 FY26 (27% of AI)</t>
  </si>
  <si>
    <t xml:space="preserve">Gross margin change, Q3 FY25 to Q3 FY26, points</t>
  </si>
  <si>
    <t xml:space="preserve">Semiconductor segment operating margin, Q3 FY26</t>
  </si>
  <si>
    <t xml:space="preserve">Software segment operating margin, Q3 FY26</t>
  </si>
  <si>
    <t xml:space="preserve">Source: Broadcom results releases (Exhibit 99.1 to Form 8-K), 6 March 2025 to 2 September 2026, with comparatives; AI revenue for Q4 FY25 and the networking shares from the earnings calls.</t>
  </si>
  <si>
    <t xml:space="preserve">Q4 FY26E uses the guide of 2 September 2026; interest, other income and so Q4 EPS are my estimates.</t>
  </si>
  <si>
    <t xml:space="preserve">The Q4 segment guides (AI US$21.7bn, non-AI about US$4.3bn, software about US$8.7bn) sum to US$34.7bn against the US$34.8bn consolidated guide; revenue uses the consolidated figure.</t>
  </si>
  <si>
    <t xml:space="preserve">FINANCIAL SUMMARY AND FORECASTS (US$ billion unless stated, non-GAAP basis)</t>
  </si>
  <si>
    <t xml:space="preserve">FY24A</t>
  </si>
  <si>
    <t xml:space="preserve">FY25A</t>
  </si>
  <si>
    <t xml:space="preserve">FY26E*</t>
  </si>
  <si>
    <t xml:space="preserve">FY27E*</t>
  </si>
  <si>
    <t xml:space="preserve">FY28E*</t>
  </si>
  <si>
    <t xml:space="preserve">AI semiconductors</t>
  </si>
  <si>
    <t xml:space="preserve">Non-AI semiconductors</t>
  </si>
  <si>
    <t xml:space="preserve">Semiconductor solutions</t>
  </si>
  <si>
    <t xml:space="preserve">Revenue growth</t>
  </si>
  <si>
    <t xml:space="preserve">Semiconductor operating income</t>
  </si>
  <si>
    <t xml:space="preserve">Software operating income</t>
  </si>
  <si>
    <t xml:space="preserve">Operating income</t>
  </si>
  <si>
    <t xml:space="preserve">Operating margin</t>
  </si>
  <si>
    <t xml:space="preserve">Interest and other, net</t>
  </si>
  <si>
    <t xml:space="preserve">Tax rate</t>
  </si>
  <si>
    <t xml:space="preserve">Net profit</t>
  </si>
  <si>
    <t xml:space="preserve">Diluted shares, bn</t>
  </si>
  <si>
    <t xml:space="preserve">Diluted EPS, US$</t>
  </si>
  <si>
    <t xml:space="preserve">EPS growth</t>
  </si>
  <si>
    <t xml:space="preserve">P/E at reference price</t>
  </si>
  <si>
    <t xml:space="preserve">Consensus EPS, US$</t>
  </si>
  <si>
    <t xml:space="preserve">Mine against consensus</t>
  </si>
  <si>
    <t xml:space="preserve">P/E on consensus</t>
  </si>
  <si>
    <t xml:space="preserve">My revenue against consensus revenue</t>
  </si>
  <si>
    <t xml:space="preserve">*FY26E sums three reported quarters and the Q4 guide (Quarterly tab). FY27E takes management's US$115bn AI outlook; the rest of FY27E and all of FY28E are my estimates. FY28E is the base case (Scenarios row 6).</t>
  </si>
  <si>
    <t xml:space="preserve">FY24A and FY25A as reported; FY25 AI revenue is the sum of the four quarters. FY24 and FY25 EPS are non-GAAP net profit over non-GAAP diluted shares.</t>
  </si>
  <si>
    <t xml:space="preserve">Consensus from stockanalysis.com (S&amp;P Global data, last updated 2 October 2026). FY28 consensus not verified.</t>
  </si>
  <si>
    <t xml:space="preserve">Note check: FY26E EPS 11.62; FY27E revenue 166.00, EPS 17.76; FY28E revenue 243.50, EPS 25.15.</t>
  </si>
  <si>
    <t xml:space="preserve">THREE CASES, TWELVE MONTHS OUT (SUM OF THE PARTS ON FY28E)</t>
  </si>
  <si>
    <t xml:space="preserve">Case</t>
  </si>
  <si>
    <t xml:space="preserve">FY28 AI rev.</t>
  </si>
  <si>
    <t xml:space="preserve">Chip op. margin</t>
  </si>
  <si>
    <t xml:space="preserve">Chip multiple</t>
  </si>
  <si>
    <t xml:space="preserve">Software multiple</t>
  </si>
  <si>
    <t xml:space="preserve">Chip revenue</t>
  </si>
  <si>
    <t xml:space="preserve">Chip op. income</t>
  </si>
  <si>
    <t xml:space="preserve">Software op. income</t>
  </si>
  <si>
    <t xml:space="preserve">FY28 EPS</t>
  </si>
  <si>
    <t xml:space="preserve">Chip value / share</t>
  </si>
  <si>
    <t xml:space="preserve">Software value / share</t>
  </si>
  <si>
    <t xml:space="preserve">Value, US$</t>
  </si>
  <si>
    <t xml:space="preserve">vs price</t>
  </si>
  <si>
    <t xml:space="preserve">Bear</t>
  </si>
  <si>
    <t xml:space="preserve">Base</t>
  </si>
  <si>
    <t xml:space="preserve">Bull</t>
  </si>
  <si>
    <t xml:space="preserve">Probability</t>
  </si>
  <si>
    <t xml:space="preserve">must be 100%</t>
  </si>
  <si>
    <t xml:space="preserve">Value = chip after-tax operating profit x chip multiple + software after-tax operating profit x software multiple - net debt, over FY28 diluted shares.</t>
  </si>
  <si>
    <t xml:space="preserve">Software (US$35.5bn at 81%) and non-AI chips (US$18bn) are the same in all three cases. Net debt is held at its 2 August 2026 level (Valuation tab).</t>
  </si>
  <si>
    <t xml:space="preserve">Bear: lab financing stalls and AI revenue does not grow after FY27. Bull: management's US$230bn arrives in full. The base row (6) drives the Financials tab.</t>
  </si>
  <si>
    <t xml:space="preserve">VALUATION: SUM OF THE PARTS ON FY28E, TWELVE MONTHS OUT</t>
  </si>
  <si>
    <t xml:space="preserve">Line</t>
  </si>
  <si>
    <t xml:space="preserve">Working / note</t>
  </si>
  <si>
    <t xml:space="preserve">Total debt, US$bn</t>
  </si>
  <si>
    <t xml:space="preserve">2 August 2026.</t>
  </si>
  <si>
    <t xml:space="preserve">Net debt, US$bn</t>
  </si>
  <si>
    <t xml:space="preserve">Held flat to October 2027 (my assumption: cash after dividends goes to buybacks).</t>
  </si>
  <si>
    <t xml:space="preserve">Chip value per share, US$</t>
  </si>
  <si>
    <t xml:space="preserve">Base case.</t>
  </si>
  <si>
    <t xml:space="preserve">Software value per share, US$</t>
  </si>
  <si>
    <t xml:space="preserve">Net debt per share, US$</t>
  </si>
  <si>
    <t xml:space="preserve">Base-case value per share, US$</t>
  </si>
  <si>
    <t xml:space="preserve">Sum of the parts.</t>
  </si>
  <si>
    <t xml:space="preserve">Scenarios tab.</t>
  </si>
  <si>
    <t xml:space="preserve">Rule on value alone (long at 15% above, short at 25% below)</t>
  </si>
  <si>
    <t xml:space="preserve">Mechanical only; wider on the short side because a short's losses are open-ended.</t>
  </si>
  <si>
    <t xml:space="preserve">CALL</t>
  </si>
  <si>
    <t xml:space="preserve">LONG</t>
  </si>
  <si>
    <t xml:space="preserve">Tommy Lau's call, published 7 Oct 2026.</t>
  </si>
  <si>
    <t xml:space="preserve">Market value, US$bn</t>
  </si>
  <si>
    <t xml:space="preserve">On 4,774m shares.</t>
  </si>
  <si>
    <t xml:space="preserve">Enterprise value, US$bn</t>
  </si>
  <si>
    <t xml:space="preserve">Change since the last close before the journal piece (1 Oct 2026)</t>
  </si>
  <si>
    <t xml:space="preserve">Against the highest close (2 Jun 2026)</t>
  </si>
  <si>
    <t xml:space="preserve">Change since 31 Dec 2025</t>
  </si>
  <si>
    <t xml:space="preserve">P/E on FY25 EPS</t>
  </si>
  <si>
    <t xml:space="preserve">P/E on my FY26E</t>
  </si>
  <si>
    <t xml:space="preserve">P/E on my FY27E</t>
  </si>
  <si>
    <t xml:space="preserve">P/E on my FY28E</t>
  </si>
  <si>
    <t xml:space="preserve">P/E on FY27 consensus</t>
  </si>
  <si>
    <t xml:space="preserve">stockanalysis.com.</t>
  </si>
  <si>
    <t xml:space="preserve">P/E on management's 'more than US$30' FY28 EPS</t>
  </si>
  <si>
    <t xml:space="preserve">Chip after-tax operating profit the price needs, US$bn</t>
  </si>
  <si>
    <t xml:space="preserve">At the base multiples, software at its base value.</t>
  </si>
  <si>
    <t xml:space="preserve">Chip revenue that needs at the base margin, US$bn</t>
  </si>
  <si>
    <t xml:space="preserve">FY28 AI revenue the price needs, US$bn</t>
  </si>
  <si>
    <t xml:space="preserve">What the market prices in.</t>
  </si>
  <si>
    <t xml:space="preserve">That as growth on FY27's US$115bn</t>
  </si>
  <si>
    <t xml:space="preserve">My FY28 AI revenue below management's</t>
  </si>
  <si>
    <t xml:space="preserve">My FY28 AI revenue against FY27</t>
  </si>
  <si>
    <t xml:space="preserve">Price above which the base is less than 15% above (long lapses to no call)</t>
  </si>
  <si>
    <t xml:space="preserve">Backstop as a share of market value</t>
  </si>
  <si>
    <t xml:space="preserve">Software share of the base value</t>
  </si>
  <si>
    <t xml:space="preserve">VALUE PER SHARE: FY28 AI REVENUE AGAINST THE CHIP MULTIPLE (US$)</t>
  </si>
  <si>
    <t xml:space="preserve">FY28 AI revenue \ chip multiple</t>
  </si>
  <si>
    <t xml:space="preserve">Cells above the reference price</t>
  </si>
  <si>
    <t xml:space="preserve">of 9</t>
  </si>
  <si>
    <t xml:space="preserve">Cells more than 15% above the price</t>
  </si>
  <si>
    <t xml:space="preserve">Middle row links to my base FY28 AI revenue and the middle column to the base chip multiple. Software at 17x, chip margin 58% and net debt held throughout.</t>
  </si>
  <si>
    <t xml:space="preserve">PEER MULTIPLES (FORWARD P/E, stockanalysis.com, 6 OCTOBER 2026)</t>
  </si>
  <si>
    <t xml:space="preserve">Company</t>
  </si>
  <si>
    <t xml:space="preserve">Ticker</t>
  </si>
  <si>
    <t xml:space="preserve">Forward P/E</t>
  </si>
  <si>
    <t xml:space="preserve">What they make</t>
  </si>
  <si>
    <t xml:space="preserve">Broadcom</t>
  </si>
  <si>
    <t xml:space="preserve">Nasdaq: AVGO</t>
  </si>
  <si>
    <t xml:space="preserve">Custom AI chips, switch chips, optical parts, infrastructure software</t>
  </si>
  <si>
    <t xml:space="preserve">Chip peers</t>
  </si>
  <si>
    <t xml:space="preserve">Advanced Micro Devices</t>
  </si>
  <si>
    <t xml:space="preserve">Nasdaq: AMD</t>
  </si>
  <si>
    <t xml:space="preserve">GPUs and CPUs for data centres</t>
  </si>
  <si>
    <t xml:space="preserve">Marvell</t>
  </si>
  <si>
    <t xml:space="preserve">Nasdaq: MRVL</t>
  </si>
  <si>
    <t xml:space="preserve">Custom AI chips, optical DSPs, switch chips</t>
  </si>
  <si>
    <t xml:space="preserve">TSMC</t>
  </si>
  <si>
    <t xml:space="preserve">NYSE: TSM</t>
  </si>
  <si>
    <t xml:space="preserve">Foundry: makes Broadcom's custom chips and switch chips</t>
  </si>
  <si>
    <t xml:space="preserve">Nvidia</t>
  </si>
  <si>
    <t xml:space="preserve">Nasdaq: NVDA</t>
  </si>
  <si>
    <t xml:space="preserve">GPUs, NVLink, InfiniBand and Ethernet networking</t>
  </si>
  <si>
    <t xml:space="preserve">Qualcomm</t>
  </si>
  <si>
    <t xml:space="preserve">Nasdaq: QCOM</t>
  </si>
  <si>
    <t xml:space="preserve">Mobile and connectivity chips; data centre CPUs</t>
  </si>
  <si>
    <t xml:space="preserve">Median, chip peers</t>
  </si>
  <si>
    <t xml:space="preserve">Software peers</t>
  </si>
  <si>
    <t xml:space="preserve">ServiceNow</t>
  </si>
  <si>
    <t xml:space="preserve">NYSE: NOW</t>
  </si>
  <si>
    <t xml:space="preserve">Enterprise workflow software</t>
  </si>
  <si>
    <t xml:space="preserve">Microsoft</t>
  </si>
  <si>
    <t xml:space="preserve">Nasdaq: MSFT</t>
  </si>
  <si>
    <t xml:space="preserve">Cloud, operating systems and enterprise software</t>
  </si>
  <si>
    <t xml:space="preserve">IBM</t>
  </si>
  <si>
    <t xml:space="preserve">NYSE: IBM</t>
  </si>
  <si>
    <t xml:space="preserve">Mainframes, Red Hat and infrastructure software</t>
  </si>
  <si>
    <t xml:space="preserve">Oracle</t>
  </si>
  <si>
    <t xml:space="preserve">NYSE: ORCL</t>
  </si>
  <si>
    <t xml:space="preserve">Databases, enterprise software and cloud</t>
  </si>
  <si>
    <t xml:space="preserve">Adobe</t>
  </si>
  <si>
    <t xml:space="preserve">Nasdaq: ADBE</t>
  </si>
  <si>
    <t xml:space="preserve">Creative and document software</t>
  </si>
  <si>
    <t xml:space="preserve">Median, software peers</t>
  </si>
  <si>
    <t xml:space="preserve">Arista Networks (reference)</t>
  </si>
  <si>
    <t xml:space="preserve">NYSE: ANET</t>
  </si>
  <si>
    <t xml:space="preserve">Ethernet switches, many built on Broadcom chips</t>
  </si>
  <si>
    <t xml:space="preserve">Forward P/E as shown on stockanalysis.com during US trading on 6 October 2026. Multiples only, to set the base multiples.</t>
  </si>
  <si>
    <t xml:space="preserve">No view on the peers' shares is expressed.</t>
  </si>
  <si>
    <t xml:space="preserve">SOURCES</t>
  </si>
  <si>
    <t xml:space="preserve">No.</t>
  </si>
  <si>
    <t xml:space="preserve">Source and what it supports</t>
  </si>
  <si>
    <t xml:space="preserve">Broadcom results releases (Exhibit 99.1 to Form 8-K), 12 December 2024 to 2 September 2026, with comparatives: revenue, segment revenue, AI revenue, non-GAAP gross margin, operating income, net income, diluted shares, EPS, stock-based pay, balance sheet, Q4 FY26 guide.</t>
  </si>
  <si>
    <t xml:space="preserve">Broadcom Form 10-Q for the quarter to 2 August 2026 (filed 10 September 2026): 4,774m shares outstanding; remaining performance obligations US$179.2bn; purchase commitments US$126.8bn (US$52.7bn FY27, US$73.0bn FY28); AI XPV platform; Backstop up to about US$29bn; convertible notes up to US$42bn; top five end customers about 55% of Q3 revenue (about 40% a year earlier); one distributor 50%; segment operating income.</t>
  </si>
  <si>
    <t xml:space="preserve">Broadcom Form 8-K of 6 April 2026: long-term agreement with Google for future TPU generations and supply assurance for networking through up to 2031; Anthropic to access about 3.5 gigawatts of next generation TPU-based compute through Broadcom from 2027, dependent on Anthropic's continued commercial success.</t>
  </si>
  <si>
    <t xml:space="preserve">Broadcom earnings calls: Q3 FY25 (4 September 2025; XPUs 65% of AI revenue), Q4 FY25 (11 December 2025; AI revenue US$6.5bn; Ironwood TPU racks for Anthropic), Q1 FY26 (4 March 2026; networking one third of AI revenue; sixth customer), Q2 FY26 (3 June 2026; networking almost 40%, about 30% expected), Q3 FY26 (2 September 2026; XPUs 73%; six customers; TPU 8i ahead of MediaTek's 8t; US$115bn and US$230bn outlooks; EPS above US$30 in FY28; gross margin; XPV tranche; substrates and lasers; results on 9 December 2026). Transcripts: fool.com (2 September 2026) and transcripts.platformaeronaut.com (others).</t>
  </si>
  <si>
    <t xml:space="preserve">Nasdaq.com historical prices, retrieved 6 October 2026: daily and month-end closes, 52-week range. (Yahoo Finance chart API refused requests on 6 October 2026.)</t>
  </si>
  <si>
    <t xml:space="preserve">stockanalysis.com, retrieved 6 October 2026: FY26 and FY27 consensus EPS and revenue (S&amp;P Global, updated 2 October 2026), average target, forward P/E for Broadcom and peers.</t>
  </si>
  <si>
    <t xml:space="preserve">The Physical Layer, 'Broadcom is paid whether the cloud giants stay with Nvidia or leave', 2 October 2026: https://thephysicallayer.fyi/journal/broadcom-wins-either-way/</t>
  </si>
  <si>
    <t xml:space="preserve">Estimates for FY26 Q4 below operating income, FY27 and FY28, and the sum of the parts are the author's own. Personal research, not investment advice. I hold no position in Broadcom.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</si>
</sst>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&quot;US$&quot;#,##0.00"/>
    <numFmt numFmtId="166" formatCode="0.0%"/>
    <numFmt numFmtId="167" formatCode="#,##0.00"/>
    <numFmt numFmtId="168" formatCode="#,##0.000"/>
    <numFmt numFmtId="169" formatCode="0\x"/>
    <numFmt numFmtId="170" formatCode="#,##0.0"/>
    <numFmt numFmtId="171" formatCode="0.0\x"/>
    <numFmt numFmtId="172" formatCode="0%"/>
    <numFmt numFmtId="173" formatCode="&quot;US$&quot;#,##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1F3864"/>
      <name val="Cambria"/>
      <family val="0"/>
      <charset val="1"/>
    </font>
    <font>
      <sz val="9"/>
      <color rgb="FF595959"/>
      <name val="Cambria"/>
      <family val="0"/>
      <charset val="1"/>
    </font>
    <font>
      <b val="true"/>
      <sz val="10"/>
      <color rgb="FFFFFFFF"/>
      <name val="Cambria"/>
      <family val="0"/>
      <charset val="1"/>
    </font>
    <font>
      <b val="true"/>
      <sz val="11"/>
      <name val="Cambria"/>
      <family val="0"/>
      <charset val="1"/>
    </font>
    <font>
      <sz val="11"/>
      <color rgb="FF008000"/>
      <name val="Cambria"/>
      <family val="0"/>
      <charset val="1"/>
    </font>
    <font>
      <sz val="11"/>
      <color rgb="FF0000FF"/>
      <name val="Cambria"/>
      <family val="0"/>
      <charset val="1"/>
    </font>
    <font>
      <b val="true"/>
      <sz val="11"/>
      <color rgb="FF1F3864"/>
      <name val="Cambria"/>
      <family val="0"/>
      <charset val="1"/>
    </font>
    <font>
      <i val="true"/>
      <sz val="9"/>
      <color rgb="FF595959"/>
      <name val="Cambria"/>
      <family val="0"/>
      <charset val="1"/>
    </font>
    <font>
      <b val="true"/>
      <sz val="11"/>
      <color rgb="FF0000FF"/>
      <name val="Cambria"/>
      <family val="0"/>
      <charset val="1"/>
    </font>
    <font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F00"/>
        <bgColor rgb="FFFFFF00"/>
      </patternFill>
    </fill>
    <fill>
      <patternFill patternType="solid">
        <fgColor rgb="FFD9E2F3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5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4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26"/>
    <col collapsed="false" customWidth="true" hidden="false" outlineLevel="0" max="3" min="3" style="0" width="90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s">
        <v>3</v>
      </c>
      <c r="C4" s="4" t="s">
        <v>4</v>
      </c>
    </row>
    <row r="5" customFormat="false" ht="15" hidden="false" customHeight="false" outlineLevel="0" collapsed="false">
      <c r="A5" s="5" t="s">
        <v>5</v>
      </c>
      <c r="B5" s="6" t="str">
        <f aca="false">Valuation!$B$15</f>
        <v>LONG</v>
      </c>
      <c r="C5" s="7" t="s">
        <v>6</v>
      </c>
    </row>
    <row r="6" customFormat="false" ht="15" hidden="false" customHeight="false" outlineLevel="0" collapsed="false">
      <c r="A6" s="5" t="s">
        <v>7</v>
      </c>
      <c r="B6" s="8" t="n">
        <f aca="false">Valuation!$B$16</f>
        <v>485</v>
      </c>
      <c r="C6" s="7" t="s">
        <v>8</v>
      </c>
    </row>
    <row r="7" customFormat="false" ht="15" hidden="false" customHeight="false" outlineLevel="0" collapsed="false">
      <c r="A7" s="5" t="s">
        <v>9</v>
      </c>
      <c r="B7" s="9" t="s">
        <v>10</v>
      </c>
      <c r="C7" s="7" t="s">
        <v>11</v>
      </c>
    </row>
    <row r="8" customFormat="false" ht="15" hidden="false" customHeight="false" outlineLevel="0" collapsed="false">
      <c r="A8" s="5" t="s">
        <v>12</v>
      </c>
      <c r="B8" s="8" t="n">
        <f aca="false">Assumptions!$B$7</f>
        <v>362.51</v>
      </c>
      <c r="C8" s="7" t="s">
        <v>13</v>
      </c>
    </row>
    <row r="9" customFormat="false" ht="15" hidden="false" customHeight="false" outlineLevel="0" collapsed="false">
      <c r="A9" s="5" t="s">
        <v>14</v>
      </c>
      <c r="B9" s="8" t="n">
        <f aca="false">Valuation!$B$10</f>
        <v>486.220526315789</v>
      </c>
      <c r="C9" s="7" t="s">
        <v>15</v>
      </c>
    </row>
    <row r="10" customFormat="false" ht="15" hidden="false" customHeight="false" outlineLevel="0" collapsed="false">
      <c r="A10" s="5" t="s">
        <v>16</v>
      </c>
      <c r="B10" s="10" t="n">
        <f aca="false">Valuation!$B$12</f>
        <v>0.341261003326224</v>
      </c>
      <c r="C10" s="7"/>
    </row>
    <row r="11" customFormat="false" ht="15" hidden="false" customHeight="false" outlineLevel="0" collapsed="false">
      <c r="A11" s="5" t="s">
        <v>17</v>
      </c>
      <c r="B11" s="8" t="n">
        <f aca="false">Valuation!$B$13</f>
        <v>461.404817813765</v>
      </c>
      <c r="C11" s="7" t="s">
        <v>18</v>
      </c>
    </row>
    <row r="12" customFormat="false" ht="15" hidden="false" customHeight="false" outlineLevel="0" collapsed="false">
      <c r="A12" s="5" t="s">
        <v>19</v>
      </c>
      <c r="B12" s="6" t="str">
        <f aca="false">TEXT(Financials!D20,"0.00")&amp;" / "&amp;TEXT(Financials!E20,"0.00")&amp;" / "&amp;TEXT(Financials!F20,"0.00")</f>
        <v>11.62 / 17.76 / 25.15</v>
      </c>
      <c r="C12" s="7" t="s">
        <v>20</v>
      </c>
    </row>
    <row r="13" customFormat="false" ht="15" hidden="false" customHeight="false" outlineLevel="0" collapsed="false">
      <c r="A13" s="5" t="s">
        <v>21</v>
      </c>
      <c r="B13" s="9" t="s">
        <v>22</v>
      </c>
      <c r="C13" s="7"/>
    </row>
    <row r="14" customFormat="false" ht="23.85" hidden="false" customHeight="false" outlineLevel="0" collapsed="false">
      <c r="A14" s="5" t="s">
        <v>23</v>
      </c>
      <c r="B14" s="9" t="s">
        <v>24</v>
      </c>
      <c r="C14" s="7" t="s">
        <v>25</v>
      </c>
    </row>
    <row r="17" customFormat="false" ht="15" hidden="false" customHeight="false" outlineLevel="0" collapsed="false">
      <c r="A17" s="11" t="s">
        <v>26</v>
      </c>
    </row>
    <row r="18" customFormat="false" ht="15" hidden="false" customHeight="false" outlineLevel="0" collapsed="false">
      <c r="A18" s="0" t="s">
        <v>27</v>
      </c>
      <c r="B18" s="0" t="s">
        <v>28</v>
      </c>
    </row>
    <row r="19" customFormat="false" ht="15" hidden="false" customHeight="false" outlineLevel="0" collapsed="false">
      <c r="A19" s="0" t="s">
        <v>29</v>
      </c>
      <c r="B19" s="0" t="s">
        <v>30</v>
      </c>
    </row>
    <row r="20" customFormat="false" ht="15" hidden="false" customHeight="false" outlineLevel="0" collapsed="false">
      <c r="A20" s="0" t="s">
        <v>31</v>
      </c>
      <c r="B20" s="0" t="s">
        <v>32</v>
      </c>
    </row>
    <row r="21" customFormat="false" ht="15" hidden="false" customHeight="false" outlineLevel="0" collapsed="false">
      <c r="A21" s="0" t="s">
        <v>33</v>
      </c>
      <c r="B21" s="0" t="s">
        <v>34</v>
      </c>
    </row>
    <row r="22" customFormat="false" ht="15" hidden="false" customHeight="false" outlineLevel="0" collapsed="false">
      <c r="A22" s="0" t="s">
        <v>35</v>
      </c>
      <c r="B22" s="0" t="s">
        <v>36</v>
      </c>
    </row>
    <row r="23" customFormat="false" ht="15" hidden="false" customHeight="false" outlineLevel="0" collapsed="false">
      <c r="A23" s="0" t="s">
        <v>37</v>
      </c>
      <c r="B23" s="0" t="s">
        <v>38</v>
      </c>
    </row>
    <row r="24" customFormat="false" ht="15" hidden="false" customHeight="false" outlineLevel="0" collapsed="false">
      <c r="A24" s="0" t="s">
        <v>39</v>
      </c>
      <c r="B24" s="0" t="s">
        <v>40</v>
      </c>
    </row>
    <row r="25" customFormat="false" ht="15" hidden="false" customHeight="false" outlineLevel="0" collapsed="false">
      <c r="A25" s="0" t="s">
        <v>41</v>
      </c>
      <c r="B25" s="0" t="s">
        <v>42</v>
      </c>
    </row>
    <row r="28" customFormat="false" ht="15" hidden="false" customHeight="false" outlineLevel="0" collapsed="false">
      <c r="A28" s="12" t="s">
        <v>43</v>
      </c>
    </row>
    <row r="29" customFormat="false" ht="15" hidden="false" customHeight="false" outlineLevel="0" collapsed="false">
      <c r="A29" s="12" t="s">
        <v>44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5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2"/>
    <col collapsed="false" customWidth="true" hidden="false" outlineLevel="0" max="2" min="2" style="0" width="14"/>
    <col collapsed="false" customWidth="true" hidden="false" outlineLevel="0" max="3" min="3" style="0" width="10"/>
    <col collapsed="false" customWidth="true" hidden="false" outlineLevel="0" max="4" min="4" style="0" width="92"/>
  </cols>
  <sheetData>
    <row r="1" customFormat="false" ht="15" hidden="false" customHeight="false" outlineLevel="0" collapsed="false">
      <c r="A1" s="1" t="s">
        <v>45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12" t="s">
        <v>46</v>
      </c>
    </row>
    <row r="5" customFormat="false" ht="15" hidden="false" customHeight="false" outlineLevel="0" collapsed="false">
      <c r="A5" s="3" t="s">
        <v>47</v>
      </c>
      <c r="B5" s="4" t="s">
        <v>3</v>
      </c>
      <c r="C5" s="4" t="s">
        <v>48</v>
      </c>
      <c r="D5" s="4" t="s">
        <v>49</v>
      </c>
    </row>
    <row r="6" customFormat="false" ht="15" hidden="false" customHeight="false" outlineLevel="0" collapsed="false">
      <c r="A6" s="11" t="s">
        <v>50</v>
      </c>
    </row>
    <row r="7" customFormat="false" ht="15" hidden="false" customHeight="false" outlineLevel="0" collapsed="false">
      <c r="A7" s="0" t="s">
        <v>51</v>
      </c>
      <c r="B7" s="13" t="n">
        <v>362.51</v>
      </c>
      <c r="C7" s="0" t="s">
        <v>52</v>
      </c>
      <c r="D7" s="7" t="s">
        <v>53</v>
      </c>
    </row>
    <row r="8" customFormat="false" ht="15" hidden="false" customHeight="false" outlineLevel="0" collapsed="false">
      <c r="A8" s="0" t="s">
        <v>54</v>
      </c>
      <c r="B8" s="13" t="n">
        <v>495</v>
      </c>
      <c r="C8" s="0" t="s">
        <v>52</v>
      </c>
      <c r="D8" s="7" t="s">
        <v>55</v>
      </c>
    </row>
    <row r="9" customFormat="false" ht="15" hidden="false" customHeight="false" outlineLevel="0" collapsed="false">
      <c r="A9" s="0" t="s">
        <v>56</v>
      </c>
      <c r="B9" s="13" t="n">
        <v>481.57</v>
      </c>
      <c r="C9" s="0" t="s">
        <v>52</v>
      </c>
      <c r="D9" s="7" t="s">
        <v>55</v>
      </c>
    </row>
    <row r="10" customFormat="false" ht="15" hidden="false" customHeight="false" outlineLevel="0" collapsed="false">
      <c r="A10" s="0" t="s">
        <v>57</v>
      </c>
      <c r="B10" s="13" t="n">
        <v>289.96</v>
      </c>
      <c r="C10" s="0" t="s">
        <v>52</v>
      </c>
      <c r="D10" s="7" t="s">
        <v>55</v>
      </c>
    </row>
    <row r="11" customFormat="false" ht="15" hidden="false" customHeight="false" outlineLevel="0" collapsed="false">
      <c r="A11" s="0" t="s">
        <v>58</v>
      </c>
      <c r="B11" s="13" t="n">
        <v>293.41</v>
      </c>
      <c r="C11" s="0" t="s">
        <v>52</v>
      </c>
      <c r="D11" s="7" t="s">
        <v>55</v>
      </c>
    </row>
    <row r="12" customFormat="false" ht="15" hidden="false" customHeight="false" outlineLevel="0" collapsed="false">
      <c r="A12" s="0" t="s">
        <v>59</v>
      </c>
      <c r="B12" s="13" t="n">
        <v>346.1</v>
      </c>
      <c r="C12" s="0" t="s">
        <v>52</v>
      </c>
      <c r="D12" s="7" t="s">
        <v>55</v>
      </c>
    </row>
    <row r="13" customFormat="false" ht="15" hidden="false" customHeight="false" outlineLevel="0" collapsed="false">
      <c r="A13" s="0" t="s">
        <v>60</v>
      </c>
      <c r="B13" s="13" t="n">
        <v>343.64</v>
      </c>
      <c r="C13" s="0" t="s">
        <v>52</v>
      </c>
      <c r="D13" s="7" t="s">
        <v>61</v>
      </c>
    </row>
    <row r="14" customFormat="false" ht="15" hidden="false" customHeight="false" outlineLevel="0" collapsed="false">
      <c r="A14" s="0" t="s">
        <v>62</v>
      </c>
      <c r="B14" s="14" t="n">
        <v>4.774</v>
      </c>
      <c r="C14" s="0" t="s">
        <v>63</v>
      </c>
      <c r="D14" s="7" t="s">
        <v>64</v>
      </c>
    </row>
    <row r="15" customFormat="false" ht="15" hidden="false" customHeight="false" outlineLevel="0" collapsed="false">
      <c r="A15" s="0" t="s">
        <v>65</v>
      </c>
      <c r="B15" s="14" t="n">
        <v>23.975</v>
      </c>
      <c r="C15" s="0" t="s">
        <v>66</v>
      </c>
      <c r="D15" s="7" t="s">
        <v>67</v>
      </c>
    </row>
    <row r="16" customFormat="false" ht="15" hidden="false" customHeight="false" outlineLevel="0" collapsed="false">
      <c r="A16" s="0" t="s">
        <v>68</v>
      </c>
      <c r="B16" s="14" t="n">
        <v>2.252</v>
      </c>
      <c r="C16" s="0" t="s">
        <v>66</v>
      </c>
      <c r="D16" s="7" t="s">
        <v>69</v>
      </c>
    </row>
    <row r="17" customFormat="false" ht="15" hidden="false" customHeight="false" outlineLevel="0" collapsed="false">
      <c r="A17" s="0" t="s">
        <v>70</v>
      </c>
      <c r="B17" s="14" t="n">
        <v>57.167</v>
      </c>
      <c r="C17" s="0" t="s">
        <v>66</v>
      </c>
      <c r="D17" s="7" t="s">
        <v>69</v>
      </c>
    </row>
    <row r="18" customFormat="false" ht="15" hidden="false" customHeight="false" outlineLevel="0" collapsed="false">
      <c r="A18" s="0" t="s">
        <v>71</v>
      </c>
      <c r="B18" s="13" t="n">
        <v>11.66</v>
      </c>
      <c r="C18" s="0" t="s">
        <v>52</v>
      </c>
      <c r="D18" s="7" t="s">
        <v>72</v>
      </c>
    </row>
    <row r="19" customFormat="false" ht="15" hidden="false" customHeight="false" outlineLevel="0" collapsed="false">
      <c r="A19" s="0" t="s">
        <v>73</v>
      </c>
      <c r="B19" s="13" t="n">
        <v>19.39</v>
      </c>
      <c r="C19" s="0" t="s">
        <v>52</v>
      </c>
      <c r="D19" s="7" t="s">
        <v>74</v>
      </c>
    </row>
    <row r="20" customFormat="false" ht="15" hidden="false" customHeight="false" outlineLevel="0" collapsed="false">
      <c r="A20" s="0" t="s">
        <v>75</v>
      </c>
      <c r="B20" s="14" t="n">
        <v>173.93</v>
      </c>
      <c r="C20" s="0" t="s">
        <v>66</v>
      </c>
      <c r="D20" s="7" t="s">
        <v>76</v>
      </c>
    </row>
    <row r="21" customFormat="false" ht="15" hidden="false" customHeight="false" outlineLevel="0" collapsed="false">
      <c r="A21" s="0" t="s">
        <v>77</v>
      </c>
      <c r="B21" s="13" t="n">
        <v>531.85</v>
      </c>
      <c r="C21" s="0" t="s">
        <v>52</v>
      </c>
      <c r="D21" s="7" t="s">
        <v>78</v>
      </c>
    </row>
    <row r="22" customFormat="false" ht="15" hidden="false" customHeight="false" outlineLevel="0" collapsed="false">
      <c r="A22" s="0" t="s">
        <v>79</v>
      </c>
      <c r="B22" s="15" t="n">
        <v>20.92</v>
      </c>
      <c r="C22" s="0" t="s">
        <v>80</v>
      </c>
      <c r="D22" s="7" t="s">
        <v>81</v>
      </c>
    </row>
    <row r="23" customFormat="false" ht="15" hidden="false" customHeight="false" outlineLevel="0" collapsed="false">
      <c r="A23" s="11" t="s">
        <v>82</v>
      </c>
    </row>
    <row r="24" customFormat="false" ht="15" hidden="false" customHeight="false" outlineLevel="0" collapsed="false">
      <c r="A24" s="0" t="s">
        <v>83</v>
      </c>
      <c r="B24" s="14" t="n">
        <v>34.8</v>
      </c>
      <c r="C24" s="0" t="s">
        <v>66</v>
      </c>
      <c r="D24" s="7" t="s">
        <v>84</v>
      </c>
    </row>
    <row r="25" customFormat="false" ht="15" hidden="false" customHeight="false" outlineLevel="0" collapsed="false">
      <c r="A25" s="0" t="s">
        <v>85</v>
      </c>
      <c r="B25" s="14" t="n">
        <v>21.7</v>
      </c>
      <c r="C25" s="0" t="s">
        <v>66</v>
      </c>
      <c r="D25" s="7" t="s">
        <v>86</v>
      </c>
    </row>
    <row r="26" customFormat="false" ht="15" hidden="false" customHeight="false" outlineLevel="0" collapsed="false">
      <c r="A26" s="0" t="s">
        <v>87</v>
      </c>
      <c r="B26" s="14" t="n">
        <v>26.1</v>
      </c>
      <c r="C26" s="0" t="s">
        <v>66</v>
      </c>
      <c r="D26" s="7" t="s">
        <v>88</v>
      </c>
    </row>
    <row r="27" customFormat="false" ht="15" hidden="false" customHeight="false" outlineLevel="0" collapsed="false">
      <c r="A27" s="0" t="s">
        <v>89</v>
      </c>
      <c r="B27" s="14" t="n">
        <v>4.3</v>
      </c>
      <c r="C27" s="0" t="s">
        <v>66</v>
      </c>
      <c r="D27" s="7" t="s">
        <v>90</v>
      </c>
    </row>
    <row r="28" customFormat="false" ht="15" hidden="false" customHeight="false" outlineLevel="0" collapsed="false">
      <c r="A28" s="0" t="s">
        <v>91</v>
      </c>
      <c r="B28" s="14" t="n">
        <v>8.7</v>
      </c>
      <c r="C28" s="0" t="s">
        <v>66</v>
      </c>
      <c r="D28" s="7" t="s">
        <v>92</v>
      </c>
    </row>
    <row r="29" customFormat="false" ht="15" hidden="false" customHeight="false" outlineLevel="0" collapsed="false">
      <c r="A29" s="0" t="s">
        <v>93</v>
      </c>
      <c r="B29" s="16" t="n">
        <v>0.66</v>
      </c>
      <c r="C29" s="0" t="s">
        <v>94</v>
      </c>
      <c r="D29" s="7" t="s">
        <v>95</v>
      </c>
    </row>
    <row r="30" customFormat="false" ht="15" hidden="false" customHeight="false" outlineLevel="0" collapsed="false">
      <c r="A30" s="0" t="s">
        <v>96</v>
      </c>
      <c r="B30" s="16" t="n">
        <v>0.73</v>
      </c>
      <c r="C30" s="0" t="s">
        <v>94</v>
      </c>
      <c r="D30" s="7" t="s">
        <v>97</v>
      </c>
    </row>
    <row r="31" customFormat="false" ht="15" hidden="false" customHeight="false" outlineLevel="0" collapsed="false">
      <c r="A31" s="0" t="s">
        <v>98</v>
      </c>
      <c r="B31" s="16" t="n">
        <v>0.16</v>
      </c>
      <c r="C31" s="0" t="s">
        <v>94</v>
      </c>
      <c r="D31" s="7" t="s">
        <v>99</v>
      </c>
    </row>
    <row r="32" customFormat="false" ht="15" hidden="false" customHeight="false" outlineLevel="0" collapsed="false">
      <c r="A32" s="0" t="s">
        <v>100</v>
      </c>
      <c r="B32" s="14" t="n">
        <v>4.94</v>
      </c>
      <c r="C32" s="0" t="s">
        <v>63</v>
      </c>
      <c r="D32" s="7" t="s">
        <v>101</v>
      </c>
    </row>
    <row r="33" customFormat="false" ht="15" hidden="false" customHeight="false" outlineLevel="0" collapsed="false">
      <c r="A33" s="0" t="s">
        <v>102</v>
      </c>
      <c r="B33" s="14" t="n">
        <v>115</v>
      </c>
      <c r="C33" s="0" t="s">
        <v>66</v>
      </c>
      <c r="D33" s="7" t="s">
        <v>103</v>
      </c>
    </row>
    <row r="34" customFormat="false" ht="15" hidden="false" customHeight="false" outlineLevel="0" collapsed="false">
      <c r="A34" s="0" t="s">
        <v>104</v>
      </c>
      <c r="B34" s="14" t="n">
        <v>230</v>
      </c>
      <c r="C34" s="0" t="s">
        <v>66</v>
      </c>
      <c r="D34" s="7" t="s">
        <v>105</v>
      </c>
    </row>
    <row r="35" customFormat="false" ht="15" hidden="false" customHeight="false" outlineLevel="0" collapsed="false">
      <c r="A35" s="0" t="s">
        <v>106</v>
      </c>
      <c r="B35" s="13" t="n">
        <v>30</v>
      </c>
      <c r="C35" s="0" t="s">
        <v>52</v>
      </c>
      <c r="D35" s="7" t="s">
        <v>107</v>
      </c>
    </row>
    <row r="36" customFormat="false" ht="15" hidden="false" customHeight="false" outlineLevel="0" collapsed="false">
      <c r="A36" s="0" t="s">
        <v>108</v>
      </c>
      <c r="B36" s="14" t="n">
        <v>12.77</v>
      </c>
      <c r="C36" s="0" t="s">
        <v>66</v>
      </c>
      <c r="D36" s="7" t="s">
        <v>109</v>
      </c>
    </row>
    <row r="37" customFormat="false" ht="15" hidden="false" customHeight="false" outlineLevel="0" collapsed="false">
      <c r="A37" s="0" t="s">
        <v>110</v>
      </c>
      <c r="B37" s="14" t="n">
        <v>7.325</v>
      </c>
      <c r="C37" s="0" t="s">
        <v>66</v>
      </c>
      <c r="D37" s="7" t="s">
        <v>69</v>
      </c>
    </row>
    <row r="38" customFormat="false" ht="15" hidden="false" customHeight="false" outlineLevel="0" collapsed="false">
      <c r="A38" s="0" t="s">
        <v>111</v>
      </c>
      <c r="B38" s="14" t="n">
        <v>29</v>
      </c>
      <c r="C38" s="0" t="s">
        <v>66</v>
      </c>
      <c r="D38" s="7" t="s">
        <v>112</v>
      </c>
    </row>
    <row r="39" customFormat="false" ht="15" hidden="false" customHeight="false" outlineLevel="0" collapsed="false">
      <c r="A39" s="0" t="s">
        <v>113</v>
      </c>
      <c r="B39" s="14" t="n">
        <v>42</v>
      </c>
      <c r="C39" s="0" t="s">
        <v>66</v>
      </c>
      <c r="D39" s="7" t="s">
        <v>114</v>
      </c>
    </row>
    <row r="40" customFormat="false" ht="15" hidden="false" customHeight="false" outlineLevel="0" collapsed="false">
      <c r="A40" s="0" t="s">
        <v>115</v>
      </c>
      <c r="B40" s="14" t="n">
        <v>72.952</v>
      </c>
      <c r="C40" s="0" t="s">
        <v>66</v>
      </c>
      <c r="D40" s="7" t="s">
        <v>116</v>
      </c>
    </row>
    <row r="41" customFormat="false" ht="15" hidden="false" customHeight="false" outlineLevel="0" collapsed="false">
      <c r="A41" s="0" t="s">
        <v>117</v>
      </c>
      <c r="B41" s="16" t="n">
        <v>0.27</v>
      </c>
      <c r="C41" s="0" t="s">
        <v>94</v>
      </c>
      <c r="D41" s="7" t="s">
        <v>118</v>
      </c>
    </row>
    <row r="42" customFormat="false" ht="15" hidden="false" customHeight="false" outlineLevel="0" collapsed="false">
      <c r="A42" s="11" t="s">
        <v>119</v>
      </c>
    </row>
    <row r="43" customFormat="false" ht="15" hidden="false" customHeight="false" outlineLevel="0" collapsed="false">
      <c r="A43" s="0" t="s">
        <v>120</v>
      </c>
      <c r="B43" s="17" t="n">
        <v>-0.68</v>
      </c>
      <c r="C43" s="0" t="s">
        <v>66</v>
      </c>
      <c r="D43" s="7" t="s">
        <v>121</v>
      </c>
    </row>
    <row r="44" customFormat="false" ht="15" hidden="false" customHeight="false" outlineLevel="0" collapsed="false">
      <c r="A44" s="0" t="s">
        <v>122</v>
      </c>
      <c r="B44" s="17" t="n">
        <v>0.1</v>
      </c>
      <c r="C44" s="0" t="s">
        <v>66</v>
      </c>
      <c r="D44" s="7" t="s">
        <v>123</v>
      </c>
    </row>
    <row r="45" customFormat="false" ht="15" hidden="false" customHeight="false" outlineLevel="0" collapsed="false">
      <c r="A45" s="0" t="s">
        <v>124</v>
      </c>
      <c r="B45" s="17" t="n">
        <v>17.5</v>
      </c>
      <c r="C45" s="0" t="s">
        <v>66</v>
      </c>
      <c r="D45" s="7" t="s">
        <v>125</v>
      </c>
    </row>
    <row r="46" customFormat="false" ht="15" hidden="false" customHeight="false" outlineLevel="0" collapsed="false">
      <c r="A46" s="0" t="s">
        <v>126</v>
      </c>
      <c r="B46" s="17" t="n">
        <v>33.5</v>
      </c>
      <c r="C46" s="0" t="s">
        <v>66</v>
      </c>
      <c r="D46" s="7" t="s">
        <v>127</v>
      </c>
    </row>
    <row r="47" customFormat="false" ht="15" hidden="false" customHeight="false" outlineLevel="0" collapsed="false">
      <c r="A47" s="0" t="s">
        <v>128</v>
      </c>
      <c r="B47" s="18" t="n">
        <v>0.6</v>
      </c>
      <c r="C47" s="0" t="s">
        <v>94</v>
      </c>
      <c r="D47" s="7" t="s">
        <v>129</v>
      </c>
    </row>
    <row r="48" customFormat="false" ht="15" hidden="false" customHeight="false" outlineLevel="0" collapsed="false">
      <c r="A48" s="0" t="s">
        <v>130</v>
      </c>
      <c r="B48" s="18" t="n">
        <v>0.81</v>
      </c>
      <c r="C48" s="0" t="s">
        <v>94</v>
      </c>
      <c r="D48" s="7" t="s">
        <v>131</v>
      </c>
    </row>
    <row r="49" customFormat="false" ht="15" hidden="false" customHeight="false" outlineLevel="0" collapsed="false">
      <c r="A49" s="0" t="s">
        <v>132</v>
      </c>
      <c r="B49" s="17" t="n">
        <v>-2.2</v>
      </c>
      <c r="C49" s="0" t="s">
        <v>66</v>
      </c>
      <c r="D49" s="7" t="s">
        <v>133</v>
      </c>
    </row>
    <row r="50" customFormat="false" ht="15" hidden="false" customHeight="false" outlineLevel="0" collapsed="false">
      <c r="A50" s="0" t="s">
        <v>134</v>
      </c>
      <c r="B50" s="18" t="n">
        <v>0.16</v>
      </c>
      <c r="C50" s="0" t="s">
        <v>94</v>
      </c>
      <c r="D50" s="7" t="s">
        <v>135</v>
      </c>
    </row>
    <row r="51" customFormat="false" ht="15" hidden="false" customHeight="false" outlineLevel="0" collapsed="false">
      <c r="A51" s="0" t="s">
        <v>136</v>
      </c>
      <c r="B51" s="17" t="n">
        <v>4.94</v>
      </c>
      <c r="C51" s="0" t="s">
        <v>63</v>
      </c>
      <c r="D51" s="7" t="s">
        <v>137</v>
      </c>
    </row>
    <row r="52" customFormat="false" ht="15" hidden="false" customHeight="false" outlineLevel="0" collapsed="false">
      <c r="A52" s="0" t="s">
        <v>138</v>
      </c>
      <c r="B52" s="17" t="n">
        <v>190</v>
      </c>
      <c r="C52" s="0" t="s">
        <v>66</v>
      </c>
      <c r="D52" s="7" t="s">
        <v>139</v>
      </c>
    </row>
    <row r="53" customFormat="false" ht="15" hidden="false" customHeight="false" outlineLevel="0" collapsed="false">
      <c r="A53" s="0" t="s">
        <v>140</v>
      </c>
      <c r="B53" s="17" t="n">
        <v>18</v>
      </c>
      <c r="C53" s="0" t="s">
        <v>66</v>
      </c>
      <c r="D53" s="7" t="s">
        <v>133</v>
      </c>
    </row>
    <row r="54" customFormat="false" ht="15" hidden="false" customHeight="false" outlineLevel="0" collapsed="false">
      <c r="A54" s="0" t="s">
        <v>141</v>
      </c>
      <c r="B54" s="17" t="n">
        <v>35.5</v>
      </c>
      <c r="C54" s="0" t="s">
        <v>66</v>
      </c>
      <c r="D54" s="7" t="s">
        <v>142</v>
      </c>
    </row>
    <row r="55" customFormat="false" ht="15" hidden="false" customHeight="false" outlineLevel="0" collapsed="false">
      <c r="A55" s="0" t="s">
        <v>143</v>
      </c>
      <c r="B55" s="18" t="n">
        <v>0.58</v>
      </c>
      <c r="C55" s="0" t="s">
        <v>94</v>
      </c>
      <c r="D55" s="7" t="s">
        <v>144</v>
      </c>
    </row>
    <row r="56" customFormat="false" ht="15" hidden="false" customHeight="false" outlineLevel="0" collapsed="false">
      <c r="A56" s="0" t="s">
        <v>145</v>
      </c>
      <c r="B56" s="17" t="n">
        <v>-1.5</v>
      </c>
      <c r="C56" s="0" t="s">
        <v>66</v>
      </c>
      <c r="D56" s="7" t="s">
        <v>133</v>
      </c>
    </row>
    <row r="57" customFormat="false" ht="15" hidden="false" customHeight="false" outlineLevel="0" collapsed="false">
      <c r="A57" s="0" t="s">
        <v>146</v>
      </c>
      <c r="B57" s="19" t="n">
        <v>20</v>
      </c>
      <c r="C57" s="0" t="s">
        <v>80</v>
      </c>
      <c r="D57" s="7" t="s">
        <v>147</v>
      </c>
    </row>
    <row r="58" customFormat="false" ht="15" hidden="false" customHeight="false" outlineLevel="0" collapsed="false">
      <c r="A58" s="0" t="s">
        <v>148</v>
      </c>
      <c r="B58" s="19" t="n">
        <v>17</v>
      </c>
      <c r="C58" s="0" t="s">
        <v>80</v>
      </c>
      <c r="D58" s="7" t="s">
        <v>149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2"/>
    <col collapsed="false" customWidth="true" hidden="false" outlineLevel="0" max="9" min="2" style="0" width="11"/>
  </cols>
  <sheetData>
    <row r="1" customFormat="false" ht="15" hidden="false" customHeight="false" outlineLevel="0" collapsed="false">
      <c r="A1" s="1" t="s">
        <v>150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151</v>
      </c>
      <c r="B4" s="4" t="s">
        <v>152</v>
      </c>
      <c r="C4" s="4" t="s">
        <v>153</v>
      </c>
      <c r="D4" s="4" t="s">
        <v>154</v>
      </c>
      <c r="E4" s="4" t="s">
        <v>155</v>
      </c>
      <c r="F4" s="4" t="s">
        <v>156</v>
      </c>
      <c r="G4" s="4" t="s">
        <v>157</v>
      </c>
      <c r="H4" s="4" t="s">
        <v>158</v>
      </c>
      <c r="I4" s="4" t="s">
        <v>159</v>
      </c>
    </row>
    <row r="5" customFormat="false" ht="15" hidden="false" customHeight="false" outlineLevel="0" collapsed="false">
      <c r="A5" s="5" t="s">
        <v>160</v>
      </c>
      <c r="B5" s="20" t="n">
        <v>14.916</v>
      </c>
      <c r="C5" s="20" t="n">
        <v>15.004</v>
      </c>
      <c r="D5" s="20" t="n">
        <v>15.952</v>
      </c>
      <c r="E5" s="20" t="n">
        <v>18.015</v>
      </c>
      <c r="F5" s="20" t="n">
        <v>19.311</v>
      </c>
      <c r="G5" s="20" t="n">
        <v>22.187</v>
      </c>
      <c r="H5" s="20" t="n">
        <v>29.591</v>
      </c>
      <c r="I5" s="21" t="n">
        <f aca="false">Assumptions!$B$24</f>
        <v>34.8</v>
      </c>
    </row>
    <row r="6" customFormat="false" ht="15" hidden="false" customHeight="false" outlineLevel="0" collapsed="false">
      <c r="A6" s="22" t="s">
        <v>161</v>
      </c>
      <c r="B6" s="20" t="n">
        <v>8.212</v>
      </c>
      <c r="C6" s="20" t="n">
        <v>8.408</v>
      </c>
      <c r="D6" s="20" t="n">
        <v>9.166</v>
      </c>
      <c r="E6" s="20" t="n">
        <v>11.072</v>
      </c>
      <c r="F6" s="20" t="n">
        <v>12.515</v>
      </c>
      <c r="G6" s="20" t="n">
        <v>15.009</v>
      </c>
      <c r="H6" s="20" t="n">
        <v>20.839</v>
      </c>
      <c r="I6" s="23" t="n">
        <f aca="false">I7+I8</f>
        <v>26</v>
      </c>
    </row>
    <row r="7" customFormat="false" ht="15" hidden="false" customHeight="false" outlineLevel="0" collapsed="false">
      <c r="A7" s="22" t="s">
        <v>162</v>
      </c>
      <c r="B7" s="24" t="n">
        <v>4.1</v>
      </c>
      <c r="C7" s="24" t="n">
        <v>4.4</v>
      </c>
      <c r="D7" s="24" t="n">
        <v>5.2</v>
      </c>
      <c r="E7" s="24" t="n">
        <v>6.5</v>
      </c>
      <c r="F7" s="24" t="n">
        <v>8.4</v>
      </c>
      <c r="G7" s="24" t="n">
        <v>10.8</v>
      </c>
      <c r="H7" s="24" t="n">
        <v>16.7</v>
      </c>
      <c r="I7" s="25" t="n">
        <f aca="false">Assumptions!$B$25</f>
        <v>21.7</v>
      </c>
    </row>
    <row r="8" customFormat="false" ht="15" hidden="false" customHeight="false" outlineLevel="0" collapsed="false">
      <c r="A8" s="22" t="s">
        <v>163</v>
      </c>
      <c r="B8" s="23" t="n">
        <f aca="false">B6-B7</f>
        <v>4.112</v>
      </c>
      <c r="C8" s="23" t="n">
        <f aca="false">C6-C7</f>
        <v>4.008</v>
      </c>
      <c r="D8" s="23" t="n">
        <f aca="false">D6-D7</f>
        <v>3.966</v>
      </c>
      <c r="E8" s="23" t="n">
        <f aca="false">E6-E7</f>
        <v>4.572</v>
      </c>
      <c r="F8" s="23" t="n">
        <f aca="false">F6-F7</f>
        <v>4.115</v>
      </c>
      <c r="G8" s="23" t="n">
        <f aca="false">G6-G7</f>
        <v>4.209</v>
      </c>
      <c r="H8" s="23" t="n">
        <f aca="false">H6-H7</f>
        <v>4.139</v>
      </c>
      <c r="I8" s="21" t="n">
        <f aca="false">Assumptions!$B$27</f>
        <v>4.3</v>
      </c>
    </row>
    <row r="9" customFormat="false" ht="15" hidden="false" customHeight="false" outlineLevel="0" collapsed="false">
      <c r="A9" s="22" t="s">
        <v>164</v>
      </c>
      <c r="B9" s="20" t="n">
        <v>6.704</v>
      </c>
      <c r="C9" s="20" t="n">
        <v>6.596</v>
      </c>
      <c r="D9" s="20" t="n">
        <v>6.786</v>
      </c>
      <c r="E9" s="20" t="n">
        <v>6.943</v>
      </c>
      <c r="F9" s="20" t="n">
        <v>6.796</v>
      </c>
      <c r="G9" s="20" t="n">
        <v>7.178</v>
      </c>
      <c r="H9" s="20" t="n">
        <v>8.752</v>
      </c>
      <c r="I9" s="21" t="n">
        <f aca="false">Assumptions!$B$28</f>
        <v>8.7</v>
      </c>
    </row>
    <row r="10" customFormat="false" ht="15" hidden="false" customHeight="false" outlineLevel="0" collapsed="false">
      <c r="A10" s="22" t="s">
        <v>165</v>
      </c>
      <c r="B10" s="26" t="n">
        <f aca="false">B7/B5</f>
        <v>0.274872620005363</v>
      </c>
      <c r="C10" s="26" t="n">
        <f aca="false">C7/C5</f>
        <v>0.293255131964809</v>
      </c>
      <c r="D10" s="26" t="n">
        <f aca="false">D7/D5</f>
        <v>0.325977933801404</v>
      </c>
      <c r="E10" s="26" t="n">
        <f aca="false">E7/E5</f>
        <v>0.360810435747988</v>
      </c>
      <c r="F10" s="26" t="n">
        <f aca="false">F7/F5</f>
        <v>0.434985241572161</v>
      </c>
      <c r="G10" s="26" t="n">
        <f aca="false">G7/G5</f>
        <v>0.486771532879614</v>
      </c>
      <c r="H10" s="26" t="n">
        <f aca="false">H7/H5</f>
        <v>0.564360785373931</v>
      </c>
      <c r="I10" s="26" t="n">
        <f aca="false">I7/I5</f>
        <v>0.623563218390805</v>
      </c>
    </row>
    <row r="11" customFormat="false" ht="15" hidden="false" customHeight="false" outlineLevel="0" collapsed="false">
      <c r="A11" s="22" t="s">
        <v>166</v>
      </c>
      <c r="B11" s="26"/>
      <c r="C11" s="26"/>
      <c r="D11" s="26"/>
      <c r="E11" s="26"/>
      <c r="F11" s="26" t="n">
        <f aca="false">F7/B7-1</f>
        <v>1.04878048780488</v>
      </c>
      <c r="G11" s="26" t="n">
        <f aca="false">G7/C7-1</f>
        <v>1.45454545454545</v>
      </c>
      <c r="H11" s="26" t="n">
        <f aca="false">H7/D7-1</f>
        <v>2.21153846153846</v>
      </c>
      <c r="I11" s="26" t="n">
        <f aca="false">I7/E7-1</f>
        <v>2.33846153846154</v>
      </c>
    </row>
    <row r="12" customFormat="false" ht="15" hidden="false" customHeight="false" outlineLevel="0" collapsed="false">
      <c r="A12" s="22" t="s">
        <v>167</v>
      </c>
      <c r="B12" s="26"/>
      <c r="C12" s="26"/>
      <c r="D12" s="27" t="n">
        <v>0.35</v>
      </c>
      <c r="E12" s="26"/>
      <c r="F12" s="27" t="n">
        <v>0.333333333333333</v>
      </c>
      <c r="G12" s="27" t="n">
        <v>0.4</v>
      </c>
      <c r="H12" s="27" t="n">
        <v>0.27</v>
      </c>
      <c r="I12" s="26"/>
    </row>
    <row r="13" customFormat="false" ht="15" hidden="false" customHeight="false" outlineLevel="0" collapsed="false">
      <c r="A13" s="22" t="s">
        <v>168</v>
      </c>
      <c r="B13" s="20" t="n">
        <v>11.796</v>
      </c>
      <c r="C13" s="20" t="n">
        <v>11.911</v>
      </c>
      <c r="D13" s="20" t="n">
        <v>12.499</v>
      </c>
      <c r="E13" s="20" t="n">
        <v>14.039</v>
      </c>
      <c r="F13" s="20" t="n">
        <v>14.868</v>
      </c>
      <c r="G13" s="20" t="n">
        <v>17.109</v>
      </c>
      <c r="H13" s="20" t="n">
        <v>22.191</v>
      </c>
      <c r="I13" s="23" t="n">
        <f aca="false">I5*Assumptions!$B$30</f>
        <v>25.404</v>
      </c>
    </row>
    <row r="14" customFormat="false" ht="15" hidden="false" customHeight="false" outlineLevel="0" collapsed="false">
      <c r="A14" s="22" t="s">
        <v>169</v>
      </c>
      <c r="B14" s="26" t="n">
        <f aca="false">B13/B5</f>
        <v>0.790828640386162</v>
      </c>
      <c r="C14" s="26" t="n">
        <f aca="false">C13/C5</f>
        <v>0.793854972007465</v>
      </c>
      <c r="D14" s="26" t="n">
        <f aca="false">D13/D5</f>
        <v>0.783538114343029</v>
      </c>
      <c r="E14" s="26" t="n">
        <f aca="false">E13/E5</f>
        <v>0.779295031917846</v>
      </c>
      <c r="F14" s="26" t="n">
        <f aca="false">F13/F5</f>
        <v>0.769923877582725</v>
      </c>
      <c r="G14" s="26" t="n">
        <f aca="false">G13/G5</f>
        <v>0.771127236670122</v>
      </c>
      <c r="H14" s="26" t="n">
        <f aca="false">H13/H5</f>
        <v>0.74992396336724</v>
      </c>
      <c r="I14" s="26" t="n">
        <f aca="false">I13/I5</f>
        <v>0.73</v>
      </c>
    </row>
    <row r="15" customFormat="false" ht="15" hidden="false" customHeight="false" outlineLevel="0" collapsed="false">
      <c r="A15" s="5" t="s">
        <v>170</v>
      </c>
      <c r="B15" s="20" t="n">
        <v>9.828</v>
      </c>
      <c r="C15" s="20" t="n">
        <v>9.793</v>
      </c>
      <c r="D15" s="20" t="n">
        <v>10.455</v>
      </c>
      <c r="E15" s="20" t="n">
        <v>11.921</v>
      </c>
      <c r="F15" s="20" t="n">
        <v>12.826</v>
      </c>
      <c r="G15" s="20" t="n">
        <v>14.928</v>
      </c>
      <c r="H15" s="20" t="n">
        <v>20.095</v>
      </c>
      <c r="I15" s="23" t="n">
        <f aca="false">I5*Assumptions!$B$29</f>
        <v>22.968</v>
      </c>
    </row>
    <row r="16" customFormat="false" ht="15" hidden="false" customHeight="false" outlineLevel="0" collapsed="false">
      <c r="A16" s="22" t="s">
        <v>171</v>
      </c>
      <c r="B16" s="26" t="n">
        <f aca="false">B15/B5</f>
        <v>0.658889782783588</v>
      </c>
      <c r="C16" s="26" t="n">
        <f aca="false">C15/C5</f>
        <v>0.652692615302586</v>
      </c>
      <c r="D16" s="26" t="n">
        <f aca="false">D15/D5</f>
        <v>0.6554037111334</v>
      </c>
      <c r="E16" s="26" t="n">
        <f aca="false">E15/E5</f>
        <v>0.66172633916181</v>
      </c>
      <c r="F16" s="26" t="n">
        <f aca="false">F15/F5</f>
        <v>0.664181036714826</v>
      </c>
      <c r="G16" s="26" t="n">
        <f aca="false">G15/G5</f>
        <v>0.672826429891378</v>
      </c>
      <c r="H16" s="26" t="n">
        <f aca="false">H15/H5</f>
        <v>0.679091615693961</v>
      </c>
      <c r="I16" s="26" t="n">
        <f aca="false">I15/I5</f>
        <v>0.66</v>
      </c>
    </row>
    <row r="17" customFormat="false" ht="15" hidden="false" customHeight="false" outlineLevel="0" collapsed="false">
      <c r="A17" s="22" t="s">
        <v>172</v>
      </c>
      <c r="B17" s="20" t="n">
        <v>7.823</v>
      </c>
      <c r="C17" s="20" t="n">
        <v>7.787</v>
      </c>
      <c r="D17" s="20" t="n">
        <v>8.404</v>
      </c>
      <c r="E17" s="20" t="n">
        <v>9.714</v>
      </c>
      <c r="F17" s="20" t="n">
        <v>10.185</v>
      </c>
      <c r="G17" s="20" t="n">
        <v>12.074</v>
      </c>
      <c r="H17" s="20" t="n">
        <v>16.372</v>
      </c>
      <c r="I17" s="23" t="n">
        <f aca="false">(I15+Assumptions!$B$43+Assumptions!$B$44)*(1-Assumptions!$B$31)</f>
        <v>18.80592</v>
      </c>
    </row>
    <row r="18" customFormat="false" ht="15" hidden="false" customHeight="false" outlineLevel="0" collapsed="false">
      <c r="A18" s="22" t="s">
        <v>173</v>
      </c>
      <c r="B18" s="20" t="n">
        <v>4.895</v>
      </c>
      <c r="C18" s="20" t="n">
        <v>4.937</v>
      </c>
      <c r="D18" s="20" t="n">
        <v>4.972</v>
      </c>
      <c r="E18" s="20" t="n">
        <v>4.969</v>
      </c>
      <c r="F18" s="20" t="n">
        <v>4.957</v>
      </c>
      <c r="G18" s="20" t="n">
        <v>4.94</v>
      </c>
      <c r="H18" s="20" t="n">
        <v>4.937</v>
      </c>
      <c r="I18" s="21" t="n">
        <f aca="false">Assumptions!$B$32</f>
        <v>4.94</v>
      </c>
    </row>
    <row r="19" customFormat="false" ht="15" hidden="false" customHeight="false" outlineLevel="0" collapsed="false">
      <c r="A19" s="5" t="s">
        <v>174</v>
      </c>
      <c r="B19" s="28" t="n">
        <v>1.6</v>
      </c>
      <c r="C19" s="28" t="n">
        <v>1.58</v>
      </c>
      <c r="D19" s="28" t="n">
        <v>1.69</v>
      </c>
      <c r="E19" s="28" t="n">
        <v>1.95</v>
      </c>
      <c r="F19" s="28" t="n">
        <v>2.05</v>
      </c>
      <c r="G19" s="28" t="n">
        <v>2.44</v>
      </c>
      <c r="H19" s="28" t="n">
        <v>3.32</v>
      </c>
      <c r="I19" s="29" t="n">
        <f aca="false">I17/I18</f>
        <v>3.80686639676113</v>
      </c>
    </row>
    <row r="21" customFormat="false" ht="15" hidden="false" customHeight="false" outlineLevel="0" collapsed="false">
      <c r="A21" s="11" t="s">
        <v>175</v>
      </c>
    </row>
    <row r="22" customFormat="false" ht="15" hidden="false" customHeight="false" outlineLevel="0" collapsed="false">
      <c r="A22" s="0" t="s">
        <v>176</v>
      </c>
      <c r="B22" s="30" t="n">
        <f aca="false">H11</f>
        <v>2.21153846153846</v>
      </c>
    </row>
    <row r="23" customFormat="false" ht="15" hidden="false" customHeight="false" outlineLevel="0" collapsed="false">
      <c r="A23" s="0" t="s">
        <v>177</v>
      </c>
      <c r="B23" s="30" t="n">
        <f aca="false">H10</f>
        <v>0.564360785373931</v>
      </c>
    </row>
    <row r="24" customFormat="false" ht="15" hidden="false" customHeight="false" outlineLevel="0" collapsed="false">
      <c r="A24" s="0" t="s">
        <v>178</v>
      </c>
      <c r="B24" s="31" t="n">
        <f aca="false">H7*(1-H12)</f>
        <v>12.191</v>
      </c>
    </row>
    <row r="25" customFormat="false" ht="15" hidden="false" customHeight="false" outlineLevel="0" collapsed="false">
      <c r="A25" s="0" t="s">
        <v>179</v>
      </c>
      <c r="B25" s="31" t="n">
        <f aca="false">H7*H12</f>
        <v>4.509</v>
      </c>
    </row>
    <row r="26" customFormat="false" ht="15" hidden="false" customHeight="false" outlineLevel="0" collapsed="false">
      <c r="A26" s="0" t="s">
        <v>180</v>
      </c>
      <c r="B26" s="32" t="n">
        <f aca="false">(H14-D14)*100</f>
        <v>-3.36141509757891</v>
      </c>
    </row>
    <row r="27" customFormat="false" ht="15" hidden="false" customHeight="false" outlineLevel="0" collapsed="false">
      <c r="A27" s="0" t="s">
        <v>181</v>
      </c>
      <c r="B27" s="30" t="n">
        <f aca="false">Assumptions!$B$36/H6</f>
        <v>0.612793320216901</v>
      </c>
    </row>
    <row r="28" customFormat="false" ht="15" hidden="false" customHeight="false" outlineLevel="0" collapsed="false">
      <c r="A28" s="0" t="s">
        <v>182</v>
      </c>
      <c r="B28" s="30" t="n">
        <f aca="false">Assumptions!$B$37/H9</f>
        <v>0.83695155393053</v>
      </c>
    </row>
    <row r="30" customFormat="false" ht="15" hidden="false" customHeight="false" outlineLevel="0" collapsed="false">
      <c r="A30" s="12" t="s">
        <v>183</v>
      </c>
    </row>
    <row r="31" customFormat="false" ht="15" hidden="false" customHeight="false" outlineLevel="0" collapsed="false">
      <c r="A31" s="12" t="s">
        <v>184</v>
      </c>
    </row>
    <row r="32" customFormat="false" ht="15" hidden="false" customHeight="false" outlineLevel="0" collapsed="false">
      <c r="A32" s="12" t="s">
        <v>185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2"/>
    <col collapsed="false" customWidth="true" hidden="false" outlineLevel="0" max="6" min="2" style="0" width="12"/>
  </cols>
  <sheetData>
    <row r="1" customFormat="false" ht="15" hidden="false" customHeight="false" outlineLevel="0" collapsed="false">
      <c r="A1" s="1" t="s">
        <v>186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/>
      <c r="B4" s="4" t="s">
        <v>187</v>
      </c>
      <c r="C4" s="4" t="s">
        <v>188</v>
      </c>
      <c r="D4" s="4" t="s">
        <v>189</v>
      </c>
      <c r="E4" s="4" t="s">
        <v>190</v>
      </c>
      <c r="F4" s="4" t="s">
        <v>191</v>
      </c>
    </row>
    <row r="5" customFormat="false" ht="15" hidden="false" customHeight="false" outlineLevel="0" collapsed="false">
      <c r="A5" s="22" t="s">
        <v>192</v>
      </c>
      <c r="B5" s="24" t="n">
        <v>12.2</v>
      </c>
      <c r="C5" s="24" t="n">
        <v>20.2</v>
      </c>
      <c r="D5" s="33" t="n">
        <f aca="false">SUM(Quarterly!F7:I7)</f>
        <v>57.6</v>
      </c>
      <c r="E5" s="25" t="n">
        <f aca="false">Assumptions!$B$33</f>
        <v>115</v>
      </c>
      <c r="F5" s="33" t="n">
        <f aca="false">Scenarios!B6</f>
        <v>190</v>
      </c>
    </row>
    <row r="6" customFormat="false" ht="15" hidden="false" customHeight="false" outlineLevel="0" collapsed="false">
      <c r="A6" s="22" t="s">
        <v>193</v>
      </c>
      <c r="B6" s="34" t="n">
        <v>17.896</v>
      </c>
      <c r="C6" s="34" t="n">
        <v>16.658</v>
      </c>
      <c r="D6" s="35" t="n">
        <f aca="false">SUM(Quarterly!F8:I8)</f>
        <v>16.763</v>
      </c>
      <c r="E6" s="36" t="n">
        <f aca="false">Assumptions!$B$45</f>
        <v>17.5</v>
      </c>
      <c r="F6" s="36" t="n">
        <f aca="false">Assumptions!$B$53</f>
        <v>18</v>
      </c>
    </row>
    <row r="7" customFormat="false" ht="15" hidden="false" customHeight="false" outlineLevel="0" collapsed="false">
      <c r="A7" s="22" t="s">
        <v>194</v>
      </c>
      <c r="B7" s="35" t="n">
        <f aca="false">B5+B6</f>
        <v>30.096</v>
      </c>
      <c r="C7" s="35" t="n">
        <f aca="false">C5+C6</f>
        <v>36.858</v>
      </c>
      <c r="D7" s="35" t="n">
        <f aca="false">D5+D6</f>
        <v>74.363</v>
      </c>
      <c r="E7" s="35" t="n">
        <f aca="false">E5+E6</f>
        <v>132.5</v>
      </c>
      <c r="F7" s="35" t="n">
        <f aca="false">F5+F6</f>
        <v>208</v>
      </c>
    </row>
    <row r="8" customFormat="false" ht="15" hidden="false" customHeight="false" outlineLevel="0" collapsed="false">
      <c r="A8" s="22" t="s">
        <v>164</v>
      </c>
      <c r="B8" s="34" t="n">
        <v>21.478</v>
      </c>
      <c r="C8" s="34" t="n">
        <v>27.029</v>
      </c>
      <c r="D8" s="35" t="n">
        <f aca="false">SUM(Quarterly!F9:I9)</f>
        <v>31.426</v>
      </c>
      <c r="E8" s="36" t="n">
        <f aca="false">Assumptions!$B$46</f>
        <v>33.5</v>
      </c>
      <c r="F8" s="36" t="n">
        <f aca="false">Assumptions!$B$54</f>
        <v>35.5</v>
      </c>
    </row>
    <row r="9" customFormat="false" ht="15" hidden="false" customHeight="false" outlineLevel="0" collapsed="false">
      <c r="A9" s="5" t="s">
        <v>160</v>
      </c>
      <c r="B9" s="35" t="n">
        <f aca="false">B7+B8</f>
        <v>51.574</v>
      </c>
      <c r="C9" s="35" t="n">
        <f aca="false">C7+C8</f>
        <v>63.887</v>
      </c>
      <c r="D9" s="35" t="n">
        <f aca="false">SUM(Quarterly!F5:I5)</f>
        <v>105.889</v>
      </c>
      <c r="E9" s="35" t="n">
        <f aca="false">E7+E8</f>
        <v>166</v>
      </c>
      <c r="F9" s="35" t="n">
        <f aca="false">F7+F8</f>
        <v>243.5</v>
      </c>
    </row>
    <row r="10" customFormat="false" ht="15" hidden="false" customHeight="false" outlineLevel="0" collapsed="false">
      <c r="A10" s="22" t="s">
        <v>195</v>
      </c>
      <c r="B10" s="26" t="n">
        <f aca="false">B9/35.819-1</f>
        <v>0.43985035874815</v>
      </c>
      <c r="C10" s="26" t="n">
        <f aca="false">C9/B9-1</f>
        <v>0.238744328537635</v>
      </c>
      <c r="D10" s="26" t="n">
        <f aca="false">D9/C9-1</f>
        <v>0.657442046112668</v>
      </c>
      <c r="E10" s="26" t="n">
        <f aca="false">E9/D9-1</f>
        <v>0.567679362351141</v>
      </c>
      <c r="F10" s="26" t="n">
        <f aca="false">F9/E9-1</f>
        <v>0.466867469879518</v>
      </c>
    </row>
    <row r="11" customFormat="false" ht="15" hidden="false" customHeight="false" outlineLevel="0" collapsed="false">
      <c r="A11" s="22" t="s">
        <v>169</v>
      </c>
      <c r="B11" s="27" t="n">
        <v>0.76509481521697</v>
      </c>
      <c r="C11" s="27" t="n">
        <v>0.786466730320723</v>
      </c>
      <c r="D11" s="26" t="n">
        <f aca="false">SUM(Quarterly!F13:I13)/D9</f>
        <v>0.751466157957862</v>
      </c>
      <c r="E11" s="26"/>
      <c r="F11" s="26"/>
    </row>
    <row r="12" customFormat="false" ht="15" hidden="false" customHeight="false" outlineLevel="0" collapsed="false">
      <c r="A12" s="22" t="s">
        <v>196</v>
      </c>
      <c r="B12" s="23"/>
      <c r="C12" s="23"/>
      <c r="D12" s="23"/>
      <c r="E12" s="23" t="n">
        <f aca="false">E7*Assumptions!$B$47</f>
        <v>79.5</v>
      </c>
      <c r="F12" s="23" t="n">
        <f aca="false">F7*Scenarios!C6</f>
        <v>120.64</v>
      </c>
    </row>
    <row r="13" customFormat="false" ht="15" hidden="false" customHeight="false" outlineLevel="0" collapsed="false">
      <c r="A13" s="22" t="s">
        <v>197</v>
      </c>
      <c r="B13" s="23"/>
      <c r="C13" s="23"/>
      <c r="D13" s="23"/>
      <c r="E13" s="23" t="n">
        <f aca="false">E8*Assumptions!$B$48</f>
        <v>27.135</v>
      </c>
      <c r="F13" s="23" t="n">
        <f aca="false">F8*Assumptions!$B$48</f>
        <v>28.755</v>
      </c>
    </row>
    <row r="14" customFormat="false" ht="15" hidden="false" customHeight="false" outlineLevel="0" collapsed="false">
      <c r="A14" s="5" t="s">
        <v>198</v>
      </c>
      <c r="B14" s="20" t="n">
        <v>30.736</v>
      </c>
      <c r="C14" s="20" t="n">
        <v>41.997</v>
      </c>
      <c r="D14" s="23" t="n">
        <f aca="false">SUM(Quarterly!F15:I15)</f>
        <v>70.817</v>
      </c>
      <c r="E14" s="23" t="n">
        <f aca="false">E12+E13</f>
        <v>106.635</v>
      </c>
      <c r="F14" s="23" t="n">
        <f aca="false">F12+F13</f>
        <v>149.395</v>
      </c>
    </row>
    <row r="15" customFormat="false" ht="15" hidden="false" customHeight="false" outlineLevel="0" collapsed="false">
      <c r="A15" s="22" t="s">
        <v>199</v>
      </c>
      <c r="B15" s="26" t="n">
        <f aca="false">B14/B9</f>
        <v>0.595959204250204</v>
      </c>
      <c r="C15" s="26" t="n">
        <f aca="false">C14/C9</f>
        <v>0.657363782929235</v>
      </c>
      <c r="D15" s="26" t="n">
        <f aca="false">D14/D9</f>
        <v>0.66878523737121</v>
      </c>
      <c r="E15" s="26" t="n">
        <f aca="false">E14/E9</f>
        <v>0.642379518072289</v>
      </c>
      <c r="F15" s="26" t="n">
        <f aca="false">F14/F9</f>
        <v>0.6135318275154</v>
      </c>
    </row>
    <row r="16" customFormat="false" ht="15" hidden="false" customHeight="false" outlineLevel="0" collapsed="false">
      <c r="A16" s="22" t="s">
        <v>200</v>
      </c>
      <c r="B16" s="23"/>
      <c r="C16" s="23"/>
      <c r="D16" s="23"/>
      <c r="E16" s="21" t="n">
        <f aca="false">Assumptions!$B$49</f>
        <v>-2.2</v>
      </c>
      <c r="F16" s="21" t="n">
        <f aca="false">Assumptions!$B$56</f>
        <v>-1.5</v>
      </c>
    </row>
    <row r="17" customFormat="false" ht="15" hidden="false" customHeight="false" outlineLevel="0" collapsed="false">
      <c r="A17" s="22" t="s">
        <v>201</v>
      </c>
      <c r="B17" s="26"/>
      <c r="C17" s="26"/>
      <c r="D17" s="10" t="n">
        <f aca="false">Assumptions!$B$31</f>
        <v>0.16</v>
      </c>
      <c r="E17" s="10" t="n">
        <f aca="false">Assumptions!$B$50</f>
        <v>0.16</v>
      </c>
      <c r="F17" s="10" t="n">
        <f aca="false">Assumptions!$B$50</f>
        <v>0.16</v>
      </c>
    </row>
    <row r="18" customFormat="false" ht="15" hidden="false" customHeight="false" outlineLevel="0" collapsed="false">
      <c r="A18" s="5" t="s">
        <v>202</v>
      </c>
      <c r="B18" s="20" t="n">
        <v>23.733</v>
      </c>
      <c r="C18" s="20" t="n">
        <v>33.728</v>
      </c>
      <c r="D18" s="23" t="n">
        <f aca="false">SUM(Quarterly!F17:I17)</f>
        <v>57.43692</v>
      </c>
      <c r="E18" s="23" t="n">
        <f aca="false">(E14+E16)*(1-E17)</f>
        <v>87.7254</v>
      </c>
      <c r="F18" s="23" t="n">
        <f aca="false">(F14+F16)*(1-F17)</f>
        <v>124.2318</v>
      </c>
    </row>
    <row r="19" customFormat="false" ht="15" hidden="false" customHeight="false" outlineLevel="0" collapsed="false">
      <c r="A19" s="22" t="s">
        <v>203</v>
      </c>
      <c r="B19" s="20" t="n">
        <v>4.877</v>
      </c>
      <c r="C19" s="20" t="n">
        <v>4.943</v>
      </c>
      <c r="D19" s="23"/>
      <c r="E19" s="21" t="n">
        <f aca="false">Assumptions!$B$51</f>
        <v>4.94</v>
      </c>
      <c r="F19" s="21" t="n">
        <f aca="false">Assumptions!$B$51</f>
        <v>4.94</v>
      </c>
    </row>
    <row r="20" customFormat="false" ht="15" hidden="false" customHeight="false" outlineLevel="0" collapsed="false">
      <c r="A20" s="5" t="s">
        <v>204</v>
      </c>
      <c r="B20" s="28" t="n">
        <v>4.87</v>
      </c>
      <c r="C20" s="28" t="n">
        <v>6.82</v>
      </c>
      <c r="D20" s="29" t="n">
        <f aca="false">SUM(Quarterly!F19:I19)</f>
        <v>11.6168663967611</v>
      </c>
      <c r="E20" s="29" t="n">
        <f aca="false">E18/E19</f>
        <v>17.7581781376518</v>
      </c>
      <c r="F20" s="29" t="n">
        <f aca="false">F18/F19</f>
        <v>25.1481376518219</v>
      </c>
    </row>
    <row r="21" customFormat="false" ht="15" hidden="false" customHeight="false" outlineLevel="0" collapsed="false">
      <c r="A21" s="22" t="s">
        <v>205</v>
      </c>
      <c r="B21" s="26"/>
      <c r="C21" s="26" t="n">
        <f aca="false">C20/B20-1</f>
        <v>0.40041067761807</v>
      </c>
      <c r="D21" s="26" t="n">
        <f aca="false">D20/C20-1</f>
        <v>0.703352844099873</v>
      </c>
      <c r="E21" s="26" t="n">
        <f aca="false">E20/D20-1</f>
        <v>0.528654762062421</v>
      </c>
      <c r="F21" s="26" t="n">
        <f aca="false">F20/E20-1</f>
        <v>0.416144013022454</v>
      </c>
    </row>
    <row r="22" customFormat="false" ht="15" hidden="false" customHeight="false" outlineLevel="0" collapsed="false">
      <c r="A22" s="22" t="s">
        <v>206</v>
      </c>
      <c r="B22" s="37"/>
      <c r="C22" s="38" t="n">
        <f aca="false">Assumptions!$B$7/C20</f>
        <v>53.1539589442815</v>
      </c>
      <c r="D22" s="38" t="n">
        <f aca="false">Assumptions!$B$7/D20</f>
        <v>31.2054892962418</v>
      </c>
      <c r="E22" s="38" t="n">
        <f aca="false">Assumptions!$B$7/E20</f>
        <v>20.4136931835022</v>
      </c>
      <c r="F22" s="38" t="n">
        <f aca="false">Assumptions!$B$7/F20</f>
        <v>14.4149839252108</v>
      </c>
    </row>
    <row r="23" customFormat="false" ht="15" hidden="false" customHeight="false" outlineLevel="0" collapsed="false">
      <c r="A23" s="22" t="s">
        <v>207</v>
      </c>
      <c r="B23" s="29"/>
      <c r="C23" s="29"/>
      <c r="D23" s="8" t="n">
        <f aca="false">Assumptions!$B$18</f>
        <v>11.66</v>
      </c>
      <c r="E23" s="8" t="n">
        <f aca="false">Assumptions!$B$19</f>
        <v>19.39</v>
      </c>
      <c r="F23" s="29"/>
    </row>
    <row r="24" customFormat="false" ht="15" hidden="false" customHeight="false" outlineLevel="0" collapsed="false">
      <c r="A24" s="22" t="s">
        <v>208</v>
      </c>
      <c r="B24" s="26"/>
      <c r="C24" s="26"/>
      <c r="D24" s="26" t="n">
        <f aca="false">D20/D23-1</f>
        <v>-0.00369927986611218</v>
      </c>
      <c r="E24" s="26" t="n">
        <f aca="false">E20/E23-1</f>
        <v>-0.0841579093526654</v>
      </c>
      <c r="F24" s="26"/>
    </row>
    <row r="25" customFormat="false" ht="15" hidden="false" customHeight="false" outlineLevel="0" collapsed="false">
      <c r="A25" s="22" t="s">
        <v>209</v>
      </c>
      <c r="B25" s="37"/>
      <c r="C25" s="37"/>
      <c r="D25" s="38" t="n">
        <f aca="false">Assumptions!$B$7/D23</f>
        <v>31.090051457976</v>
      </c>
      <c r="E25" s="38" t="n">
        <f aca="false">Assumptions!$B$7/E23</f>
        <v>18.6957194430119</v>
      </c>
      <c r="F25" s="37"/>
    </row>
    <row r="26" customFormat="false" ht="15" hidden="false" customHeight="false" outlineLevel="0" collapsed="false">
      <c r="A26" s="22" t="s">
        <v>210</v>
      </c>
      <c r="B26" s="26"/>
      <c r="C26" s="26"/>
      <c r="D26" s="26"/>
      <c r="E26" s="26" t="n">
        <f aca="false">E9/Assumptions!$B$20-1</f>
        <v>-0.045593054677169</v>
      </c>
      <c r="F26" s="26"/>
    </row>
    <row r="28" customFormat="false" ht="15" hidden="false" customHeight="false" outlineLevel="0" collapsed="false">
      <c r="A28" s="12" t="s">
        <v>211</v>
      </c>
    </row>
    <row r="29" customFormat="false" ht="15" hidden="false" customHeight="false" outlineLevel="0" collapsed="false">
      <c r="A29" s="12" t="s">
        <v>212</v>
      </c>
    </row>
    <row r="30" customFormat="false" ht="15" hidden="false" customHeight="false" outlineLevel="0" collapsed="false">
      <c r="A30" s="12" t="s">
        <v>213</v>
      </c>
    </row>
    <row r="31" customFormat="false" ht="15" hidden="false" customHeight="false" outlineLevel="0" collapsed="false">
      <c r="A31" s="12" t="s">
        <v>214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6"/>
    <col collapsed="false" customWidth="true" hidden="false" outlineLevel="0" max="13" min="2" style="0" width="13"/>
  </cols>
  <sheetData>
    <row r="1" customFormat="false" ht="15" hidden="false" customHeight="false" outlineLevel="0" collapsed="false">
      <c r="A1" s="1" t="s">
        <v>215</v>
      </c>
    </row>
    <row r="2" customFormat="false" ht="15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3" t="s">
        <v>216</v>
      </c>
      <c r="B4" s="4" t="s">
        <v>217</v>
      </c>
      <c r="C4" s="4" t="s">
        <v>218</v>
      </c>
      <c r="D4" s="4" t="s">
        <v>219</v>
      </c>
      <c r="E4" s="4" t="s">
        <v>220</v>
      </c>
      <c r="F4" s="4" t="s">
        <v>221</v>
      </c>
      <c r="G4" s="4" t="s">
        <v>222</v>
      </c>
      <c r="H4" s="4" t="s">
        <v>223</v>
      </c>
      <c r="I4" s="4" t="s">
        <v>224</v>
      </c>
      <c r="J4" s="4" t="s">
        <v>225</v>
      </c>
      <c r="K4" s="4" t="s">
        <v>226</v>
      </c>
      <c r="L4" s="4" t="s">
        <v>227</v>
      </c>
      <c r="M4" s="4" t="s">
        <v>228</v>
      </c>
    </row>
    <row r="5" customFormat="false" ht="15" hidden="false" customHeight="false" outlineLevel="0" collapsed="false">
      <c r="A5" s="5" t="s">
        <v>229</v>
      </c>
      <c r="B5" s="39" t="n">
        <v>115</v>
      </c>
      <c r="C5" s="18" t="n">
        <v>0.52</v>
      </c>
      <c r="D5" s="19" t="n">
        <v>14</v>
      </c>
      <c r="E5" s="19" t="n">
        <v>14</v>
      </c>
      <c r="F5" s="32" t="n">
        <f aca="false">B5+Assumptions!$B$53</f>
        <v>133</v>
      </c>
      <c r="G5" s="31" t="n">
        <f aca="false">F5*C5</f>
        <v>69.16</v>
      </c>
      <c r="H5" s="31" t="n">
        <f aca="false">Assumptions!$B$54*Assumptions!$B$48</f>
        <v>28.755</v>
      </c>
      <c r="I5" s="40" t="n">
        <f aca="false">(G5+H5+Assumptions!$B$56)*(1-Assumptions!$B$50)/Assumptions!$B$51</f>
        <v>16.3944534412955</v>
      </c>
      <c r="J5" s="40" t="n">
        <f aca="false">G5*(1-Assumptions!$B$50)*D5/Assumptions!$B$51</f>
        <v>164.64</v>
      </c>
      <c r="K5" s="40" t="n">
        <f aca="false">H5*(1-Assumptions!$B$50)*E5/Assumptions!$B$51</f>
        <v>68.4531983805668</v>
      </c>
      <c r="L5" s="40" t="n">
        <f aca="false">J5+K5-Valuation!$B$6/Assumptions!$B$51</f>
        <v>225.918299595142</v>
      </c>
      <c r="M5" s="41" t="n">
        <f aca="false">L5/Assumptions!$B$7-1</f>
        <v>-0.376794296446604</v>
      </c>
    </row>
    <row r="6" customFormat="false" ht="15" hidden="false" customHeight="false" outlineLevel="0" collapsed="false">
      <c r="A6" s="5" t="s">
        <v>230</v>
      </c>
      <c r="B6" s="42" t="n">
        <f aca="false">Assumptions!$B$52</f>
        <v>190</v>
      </c>
      <c r="C6" s="43" t="n">
        <f aca="false">Assumptions!$B$55</f>
        <v>0.58</v>
      </c>
      <c r="D6" s="44" t="n">
        <f aca="false">Assumptions!$B$57</f>
        <v>20</v>
      </c>
      <c r="E6" s="44" t="n">
        <f aca="false">Assumptions!$B$58</f>
        <v>17</v>
      </c>
      <c r="F6" s="32" t="n">
        <f aca="false">B6+Assumptions!$B$53</f>
        <v>208</v>
      </c>
      <c r="G6" s="31" t="n">
        <f aca="false">F6*C6</f>
        <v>120.64</v>
      </c>
      <c r="H6" s="31" t="n">
        <f aca="false">Assumptions!$B$54*Assumptions!$B$48</f>
        <v>28.755</v>
      </c>
      <c r="I6" s="40" t="n">
        <f aca="false">(G6+H6+Assumptions!$B$56)*(1-Assumptions!$B$50)/Assumptions!$B$51</f>
        <v>25.1481376518219</v>
      </c>
      <c r="J6" s="40" t="n">
        <f aca="false">G6*(1-Assumptions!$B$50)*D6/Assumptions!$B$51</f>
        <v>410.273684210526</v>
      </c>
      <c r="K6" s="40" t="n">
        <f aca="false">H6*(1-Assumptions!$B$50)*E6/Assumptions!$B$51</f>
        <v>83.1217408906883</v>
      </c>
      <c r="L6" s="40" t="n">
        <f aca="false">J6+K6-Valuation!$B$6/Assumptions!$B$51</f>
        <v>486.220526315789</v>
      </c>
      <c r="M6" s="41" t="n">
        <f aca="false">L6/Assumptions!$B$7-1</f>
        <v>0.341261003326224</v>
      </c>
    </row>
    <row r="7" customFormat="false" ht="15" hidden="false" customHeight="false" outlineLevel="0" collapsed="false">
      <c r="A7" s="5" t="s">
        <v>231</v>
      </c>
      <c r="B7" s="39" t="n">
        <v>230</v>
      </c>
      <c r="C7" s="18" t="n">
        <v>0.6</v>
      </c>
      <c r="D7" s="19" t="n">
        <v>22</v>
      </c>
      <c r="E7" s="19" t="n">
        <v>20</v>
      </c>
      <c r="F7" s="32" t="n">
        <f aca="false">B7+Assumptions!$B$53</f>
        <v>248</v>
      </c>
      <c r="G7" s="31" t="n">
        <f aca="false">F7*C7</f>
        <v>148.8</v>
      </c>
      <c r="H7" s="31" t="n">
        <f aca="false">Assumptions!$B$54*Assumptions!$B$48</f>
        <v>28.755</v>
      </c>
      <c r="I7" s="40" t="n">
        <f aca="false">(G7+H7+Assumptions!$B$56)*(1-Assumptions!$B$50)/Assumptions!$B$51</f>
        <v>29.9364777327935</v>
      </c>
      <c r="J7" s="40" t="n">
        <f aca="false">G7*(1-Assumptions!$B$50)*D7/Assumptions!$B$51</f>
        <v>556.644534412955</v>
      </c>
      <c r="K7" s="40" t="n">
        <f aca="false">H7*(1-Assumptions!$B$50)*E7/Assumptions!$B$51</f>
        <v>97.7902834008097</v>
      </c>
      <c r="L7" s="40" t="n">
        <f aca="false">J7+K7-Valuation!$B$6/Assumptions!$B$51</f>
        <v>647.25991902834</v>
      </c>
      <c r="M7" s="41" t="n">
        <f aca="false">L7/Assumptions!$B$7-1</f>
        <v>0.785495349171995</v>
      </c>
    </row>
    <row r="9" customFormat="false" ht="15" hidden="false" customHeight="false" outlineLevel="0" collapsed="false">
      <c r="B9" s="5" t="s">
        <v>229</v>
      </c>
      <c r="C9" s="5" t="s">
        <v>230</v>
      </c>
      <c r="D9" s="5" t="s">
        <v>231</v>
      </c>
    </row>
    <row r="10" customFormat="false" ht="15" hidden="false" customHeight="false" outlineLevel="0" collapsed="false">
      <c r="A10" s="5" t="s">
        <v>232</v>
      </c>
      <c r="B10" s="45" t="n">
        <v>0.25</v>
      </c>
      <c r="C10" s="45" t="n">
        <v>0.5</v>
      </c>
      <c r="D10" s="45" t="n">
        <v>0.25</v>
      </c>
      <c r="E10" s="41" t="n">
        <f aca="false">SUM(B10:D10)</f>
        <v>1</v>
      </c>
      <c r="F10" s="12" t="s">
        <v>233</v>
      </c>
    </row>
    <row r="12" customFormat="false" ht="15" hidden="false" customHeight="false" outlineLevel="0" collapsed="false">
      <c r="A12" s="5" t="s">
        <v>17</v>
      </c>
      <c r="L12" s="46" t="n">
        <f aca="false">B10*L5+C10*L6+D10*L7</f>
        <v>461.404817813765</v>
      </c>
      <c r="M12" s="30" t="n">
        <f aca="false">L12/Assumptions!$B$7-1</f>
        <v>0.27280576484446</v>
      </c>
    </row>
    <row r="14" customFormat="false" ht="15" hidden="false" customHeight="false" outlineLevel="0" collapsed="false">
      <c r="A14" s="12" t="s">
        <v>234</v>
      </c>
    </row>
    <row r="15" customFormat="false" ht="15" hidden="false" customHeight="false" outlineLevel="0" collapsed="false">
      <c r="A15" s="12" t="s">
        <v>235</v>
      </c>
    </row>
    <row r="16" customFormat="false" ht="15" hidden="false" customHeight="false" outlineLevel="0" collapsed="false">
      <c r="A16" s="12" t="s">
        <v>236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70"/>
    <col collapsed="false" customWidth="true" hidden="false" outlineLevel="0" max="2" min="2" style="0" width="16"/>
    <col collapsed="false" customWidth="true" hidden="false" outlineLevel="0" max="3" min="3" style="0" width="70"/>
  </cols>
  <sheetData>
    <row r="1" customFormat="false" ht="15" hidden="false" customHeight="false" outlineLevel="0" collapsed="false">
      <c r="A1" s="1" t="s">
        <v>237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238</v>
      </c>
      <c r="B4" s="4" t="s">
        <v>3</v>
      </c>
      <c r="C4" s="4" t="s">
        <v>239</v>
      </c>
    </row>
    <row r="5" customFormat="false" ht="15" hidden="false" customHeight="false" outlineLevel="0" collapsed="false">
      <c r="A5" s="0" t="s">
        <v>240</v>
      </c>
      <c r="B5" s="47" t="n">
        <f aca="false">Assumptions!$B$16+Assumptions!$B$17</f>
        <v>59.419</v>
      </c>
      <c r="C5" s="7" t="s">
        <v>241</v>
      </c>
    </row>
    <row r="6" customFormat="false" ht="23.85" hidden="false" customHeight="false" outlineLevel="0" collapsed="false">
      <c r="A6" s="0" t="s">
        <v>242</v>
      </c>
      <c r="B6" s="47" t="n">
        <f aca="false">B5-Assumptions!$B$15</f>
        <v>35.444</v>
      </c>
      <c r="C6" s="7" t="s">
        <v>243</v>
      </c>
    </row>
    <row r="7" customFormat="false" ht="15" hidden="false" customHeight="false" outlineLevel="0" collapsed="false">
      <c r="A7" s="0" t="s">
        <v>244</v>
      </c>
      <c r="B7" s="40" t="n">
        <f aca="false">Scenarios!J6</f>
        <v>410.273684210526</v>
      </c>
      <c r="C7" s="7" t="s">
        <v>245</v>
      </c>
    </row>
    <row r="8" customFormat="false" ht="15" hidden="false" customHeight="false" outlineLevel="0" collapsed="false">
      <c r="A8" s="0" t="s">
        <v>246</v>
      </c>
      <c r="B8" s="40" t="n">
        <f aca="false">Scenarios!K6</f>
        <v>83.1217408906883</v>
      </c>
      <c r="C8" s="7" t="s">
        <v>245</v>
      </c>
    </row>
    <row r="9" customFormat="false" ht="15" hidden="false" customHeight="false" outlineLevel="0" collapsed="false">
      <c r="A9" s="0" t="s">
        <v>247</v>
      </c>
      <c r="B9" s="40" t="n">
        <f aca="false">B6/Assumptions!$B$51</f>
        <v>7.1748987854251</v>
      </c>
      <c r="C9" s="7"/>
    </row>
    <row r="10" customFormat="false" ht="15" hidden="false" customHeight="false" outlineLevel="0" collapsed="false">
      <c r="A10" s="5" t="s">
        <v>248</v>
      </c>
      <c r="B10" s="46" t="n">
        <f aca="false">B7+B8-B9</f>
        <v>486.220526315789</v>
      </c>
      <c r="C10" s="7" t="s">
        <v>249</v>
      </c>
    </row>
    <row r="11" customFormat="false" ht="15" hidden="false" customHeight="false" outlineLevel="0" collapsed="false">
      <c r="A11" s="0" t="s">
        <v>12</v>
      </c>
      <c r="B11" s="40" t="n">
        <f aca="false">Assumptions!$B$7</f>
        <v>362.51</v>
      </c>
      <c r="C11" s="7" t="s">
        <v>13</v>
      </c>
    </row>
    <row r="12" customFormat="false" ht="15" hidden="false" customHeight="false" outlineLevel="0" collapsed="false">
      <c r="A12" s="0" t="s">
        <v>16</v>
      </c>
      <c r="B12" s="30" t="n">
        <f aca="false">B10/B11-1</f>
        <v>0.341261003326224</v>
      </c>
      <c r="C12" s="7"/>
    </row>
    <row r="13" customFormat="false" ht="15" hidden="false" customHeight="false" outlineLevel="0" collapsed="false">
      <c r="A13" s="0" t="s">
        <v>17</v>
      </c>
      <c r="B13" s="40" t="n">
        <f aca="false">Scenarios!L12</f>
        <v>461.404817813765</v>
      </c>
      <c r="C13" s="7" t="s">
        <v>250</v>
      </c>
    </row>
    <row r="14" customFormat="false" ht="23.85" hidden="false" customHeight="false" outlineLevel="0" collapsed="false">
      <c r="A14" s="0" t="s">
        <v>251</v>
      </c>
      <c r="B14" s="0" t="str">
        <f aca="false">IF(B12&gt;=0.15,"LONG",IF(B12&lt;=-0.25,"SHORT","NO CALL"))</f>
        <v>LONG</v>
      </c>
      <c r="C14" s="7" t="s">
        <v>252</v>
      </c>
    </row>
    <row r="15" customFormat="false" ht="15" hidden="false" customHeight="false" outlineLevel="0" collapsed="false">
      <c r="A15" s="5" t="s">
        <v>253</v>
      </c>
      <c r="B15" s="48" t="s">
        <v>254</v>
      </c>
      <c r="C15" s="7" t="s">
        <v>255</v>
      </c>
    </row>
    <row r="16" customFormat="false" ht="15" hidden="false" customHeight="false" outlineLevel="0" collapsed="false">
      <c r="A16" s="0" t="s">
        <v>7</v>
      </c>
      <c r="B16" s="49" t="n">
        <v>485</v>
      </c>
      <c r="C16" s="7" t="s">
        <v>8</v>
      </c>
    </row>
    <row r="17" customFormat="false" ht="15" hidden="false" customHeight="false" outlineLevel="0" collapsed="false">
      <c r="A17" s="0" t="s">
        <v>256</v>
      </c>
      <c r="B17" s="32" t="n">
        <f aca="false">Assumptions!$B$7*Assumptions!$B$14</f>
        <v>1730.62274</v>
      </c>
      <c r="C17" s="7" t="s">
        <v>257</v>
      </c>
    </row>
    <row r="18" customFormat="false" ht="15" hidden="false" customHeight="false" outlineLevel="0" collapsed="false">
      <c r="A18" s="0" t="s">
        <v>258</v>
      </c>
      <c r="B18" s="32" t="n">
        <f aca="false">B17+B6</f>
        <v>1766.06674</v>
      </c>
      <c r="C18" s="7"/>
    </row>
    <row r="19" customFormat="false" ht="15" hidden="false" customHeight="false" outlineLevel="0" collapsed="false">
      <c r="A19" s="0" t="s">
        <v>259</v>
      </c>
      <c r="B19" s="30" t="n">
        <f aca="false">Assumptions!$B$7/Assumptions!$B$13-1</f>
        <v>0.0549121173320917</v>
      </c>
      <c r="C19" s="7"/>
    </row>
    <row r="20" customFormat="false" ht="15" hidden="false" customHeight="false" outlineLevel="0" collapsed="false">
      <c r="A20" s="0" t="s">
        <v>260</v>
      </c>
      <c r="B20" s="30" t="n">
        <f aca="false">Assumptions!$B$7/Assumptions!$B$9-1</f>
        <v>-0.247233008700708</v>
      </c>
      <c r="C20" s="7"/>
    </row>
    <row r="21" customFormat="false" ht="15" hidden="false" customHeight="false" outlineLevel="0" collapsed="false">
      <c r="A21" s="0" t="s">
        <v>261</v>
      </c>
      <c r="B21" s="30" t="n">
        <f aca="false">Assumptions!$B$7/Assumptions!$B$12-1</f>
        <v>0.0474140421843396</v>
      </c>
      <c r="C21" s="7"/>
    </row>
    <row r="22" customFormat="false" ht="15" hidden="false" customHeight="false" outlineLevel="0" collapsed="false">
      <c r="A22" s="0" t="s">
        <v>262</v>
      </c>
      <c r="B22" s="50" t="n">
        <f aca="false">Financials!C22</f>
        <v>53.1539589442815</v>
      </c>
      <c r="C22" s="7"/>
    </row>
    <row r="23" customFormat="false" ht="15" hidden="false" customHeight="false" outlineLevel="0" collapsed="false">
      <c r="A23" s="0" t="s">
        <v>263</v>
      </c>
      <c r="B23" s="50" t="n">
        <f aca="false">Financials!D22</f>
        <v>31.2054892962418</v>
      </c>
      <c r="C23" s="7"/>
    </row>
    <row r="24" customFormat="false" ht="15" hidden="false" customHeight="false" outlineLevel="0" collapsed="false">
      <c r="A24" s="0" t="s">
        <v>264</v>
      </c>
      <c r="B24" s="50" t="n">
        <f aca="false">Financials!E22</f>
        <v>20.4136931835022</v>
      </c>
      <c r="C24" s="7"/>
    </row>
    <row r="25" customFormat="false" ht="15" hidden="false" customHeight="false" outlineLevel="0" collapsed="false">
      <c r="A25" s="0" t="s">
        <v>265</v>
      </c>
      <c r="B25" s="50" t="n">
        <f aca="false">Financials!F22</f>
        <v>14.4149839252108</v>
      </c>
      <c r="C25" s="7"/>
    </row>
    <row r="26" customFormat="false" ht="15" hidden="false" customHeight="false" outlineLevel="0" collapsed="false">
      <c r="A26" s="0" t="s">
        <v>266</v>
      </c>
      <c r="B26" s="50" t="n">
        <f aca="false">Financials!E25</f>
        <v>18.6957194430119</v>
      </c>
      <c r="C26" s="7" t="s">
        <v>267</v>
      </c>
    </row>
    <row r="27" customFormat="false" ht="15" hidden="false" customHeight="false" outlineLevel="0" collapsed="false">
      <c r="A27" s="0" t="s">
        <v>268</v>
      </c>
      <c r="B27" s="50" t="n">
        <f aca="false">Assumptions!$B$7/Assumptions!$B$35</f>
        <v>12.0836666666667</v>
      </c>
      <c r="C27" s="7"/>
    </row>
    <row r="28" customFormat="false" ht="15" hidden="false" customHeight="false" outlineLevel="0" collapsed="false">
      <c r="A28" s="0" t="s">
        <v>269</v>
      </c>
      <c r="B28" s="31" t="n">
        <f aca="false">(Assumptions!$B$7*Assumptions!$B$51+B6-Scenarios!K6*Assumptions!$B$51)/Assumptions!$B$57</f>
        <v>70.7811</v>
      </c>
      <c r="C28" s="7" t="s">
        <v>270</v>
      </c>
    </row>
    <row r="29" customFormat="false" ht="15" hidden="false" customHeight="false" outlineLevel="0" collapsed="false">
      <c r="A29" s="0" t="s">
        <v>271</v>
      </c>
      <c r="B29" s="32" t="n">
        <f aca="false">B28/(1-Assumptions!$B$50)/Assumptions!$B$55</f>
        <v>145.281403940887</v>
      </c>
      <c r="C29" s="7"/>
    </row>
    <row r="30" customFormat="false" ht="15" hidden="false" customHeight="false" outlineLevel="0" collapsed="false">
      <c r="A30" s="0" t="s">
        <v>272</v>
      </c>
      <c r="B30" s="32" t="n">
        <f aca="false">B29-Assumptions!$B$53</f>
        <v>127.281403940887</v>
      </c>
      <c r="C30" s="7" t="s">
        <v>273</v>
      </c>
    </row>
    <row r="31" customFormat="false" ht="15" hidden="false" customHeight="false" outlineLevel="0" collapsed="false">
      <c r="A31" s="0" t="s">
        <v>274</v>
      </c>
      <c r="B31" s="30" t="n">
        <f aca="false">B30/Assumptions!$B$33-1</f>
        <v>0.106794816877276</v>
      </c>
      <c r="C31" s="7"/>
    </row>
    <row r="32" customFormat="false" ht="15" hidden="false" customHeight="false" outlineLevel="0" collapsed="false">
      <c r="A32" s="0" t="s">
        <v>275</v>
      </c>
      <c r="B32" s="30" t="n">
        <f aca="false">1-Assumptions!$B$52/Assumptions!$B$34</f>
        <v>0.173913043478261</v>
      </c>
      <c r="C32" s="7"/>
    </row>
    <row r="33" customFormat="false" ht="15" hidden="false" customHeight="false" outlineLevel="0" collapsed="false">
      <c r="A33" s="0" t="s">
        <v>276</v>
      </c>
      <c r="B33" s="30" t="n">
        <f aca="false">Assumptions!$B$52/Assumptions!$B$33-1</f>
        <v>0.652173913043478</v>
      </c>
      <c r="C33" s="7"/>
    </row>
    <row r="34" customFormat="false" ht="15" hidden="false" customHeight="false" outlineLevel="0" collapsed="false">
      <c r="A34" s="0" t="s">
        <v>277</v>
      </c>
      <c r="B34" s="40" t="n">
        <f aca="false">B10/1.15</f>
        <v>422.800457665904</v>
      </c>
      <c r="C34" s="7"/>
    </row>
    <row r="35" customFormat="false" ht="15" hidden="false" customHeight="false" outlineLevel="0" collapsed="false">
      <c r="A35" s="0" t="s">
        <v>278</v>
      </c>
      <c r="B35" s="30" t="n">
        <f aca="false">Assumptions!$B$38/B17</f>
        <v>0.0167569738509272</v>
      </c>
      <c r="C35" s="7"/>
    </row>
    <row r="36" customFormat="false" ht="15" hidden="false" customHeight="false" outlineLevel="0" collapsed="false">
      <c r="A36" s="0" t="s">
        <v>279</v>
      </c>
      <c r="B36" s="30" t="n">
        <f aca="false">B8/B10</f>
        <v>0.170954816573709</v>
      </c>
      <c r="C36" s="7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8"/>
    <col collapsed="false" customWidth="true" hidden="false" outlineLevel="0" max="4" min="2" style="0" width="14"/>
  </cols>
  <sheetData>
    <row r="1" customFormat="false" ht="15" hidden="false" customHeight="false" outlineLevel="0" collapsed="false">
      <c r="A1" s="1" t="s">
        <v>280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281</v>
      </c>
      <c r="B4" s="51" t="n">
        <v>16</v>
      </c>
      <c r="C4" s="51" t="n">
        <f aca="false">Assumptions!$B$57</f>
        <v>20</v>
      </c>
      <c r="D4" s="51" t="n">
        <v>24</v>
      </c>
    </row>
    <row r="5" customFormat="false" ht="15" hidden="false" customHeight="false" outlineLevel="0" collapsed="false">
      <c r="A5" s="52" t="n">
        <v>150</v>
      </c>
      <c r="B5" s="53" t="n">
        <f aca="false">(($A5+Assumptions!$B$53)*Assumptions!$B$55*(1-Assumptions!$B$50)*B$4+Scenarios!$K$6*Assumptions!$B$51-Valuation!$B$6)/Assumptions!$B$51</f>
        <v>341.046761133603</v>
      </c>
      <c r="C5" s="53" t="n">
        <f aca="false">(($A5+Assumptions!$B$53)*Assumptions!$B$55*(1-Assumptions!$B$50)*C$4+Scenarios!$K$6*Assumptions!$B$51-Valuation!$B$6)/Assumptions!$B$51</f>
        <v>407.321740890688</v>
      </c>
      <c r="D5" s="53" t="n">
        <f aca="false">(($A5+Assumptions!$B$53)*Assumptions!$B$55*(1-Assumptions!$B$50)*D$4+Scenarios!$K$6*Assumptions!$B$51-Valuation!$B$6)/Assumptions!$B$51</f>
        <v>473.596720647773</v>
      </c>
    </row>
    <row r="6" customFormat="false" ht="15" hidden="false" customHeight="false" outlineLevel="0" collapsed="false">
      <c r="A6" s="42" t="n">
        <f aca="false">Assumptions!$B$52</f>
        <v>190</v>
      </c>
      <c r="B6" s="53" t="n">
        <f aca="false">(($A6+Assumptions!$B$53)*Assumptions!$B$55*(1-Assumptions!$B$50)*B$4+Scenarios!$K$6*Assumptions!$B$51-Valuation!$B$6)/Assumptions!$B$51</f>
        <v>404.165789473684</v>
      </c>
      <c r="C6" s="54" t="n">
        <f aca="false">(($A6+Assumptions!$B$53)*Assumptions!$B$55*(1-Assumptions!$B$50)*C$4+Scenarios!$K$6*Assumptions!$B$51-Valuation!$B$6)/Assumptions!$B$51</f>
        <v>486.220526315789</v>
      </c>
      <c r="D6" s="53" t="n">
        <f aca="false">(($A6+Assumptions!$B$53)*Assumptions!$B$55*(1-Assumptions!$B$50)*D$4+Scenarios!$K$6*Assumptions!$B$51-Valuation!$B$6)/Assumptions!$B$51</f>
        <v>568.275263157895</v>
      </c>
    </row>
    <row r="7" customFormat="false" ht="15" hidden="false" customHeight="false" outlineLevel="0" collapsed="false">
      <c r="A7" s="52" t="n">
        <v>230</v>
      </c>
      <c r="B7" s="53" t="n">
        <f aca="false">(($A7+Assumptions!$B$53)*Assumptions!$B$55*(1-Assumptions!$B$50)*B$4+Scenarios!$K$6*Assumptions!$B$51-Valuation!$B$6)/Assumptions!$B$51</f>
        <v>467.284817813765</v>
      </c>
      <c r="C7" s="53" t="n">
        <f aca="false">(($A7+Assumptions!$B$53)*Assumptions!$B$55*(1-Assumptions!$B$50)*C$4+Scenarios!$K$6*Assumptions!$B$51-Valuation!$B$6)/Assumptions!$B$51</f>
        <v>565.119311740891</v>
      </c>
      <c r="D7" s="53" t="n">
        <f aca="false">(($A7+Assumptions!$B$53)*Assumptions!$B$55*(1-Assumptions!$B$50)*D$4+Scenarios!$K$6*Assumptions!$B$51-Valuation!$B$6)/Assumptions!$B$51</f>
        <v>662.953805668016</v>
      </c>
    </row>
    <row r="9" customFormat="false" ht="15" hidden="false" customHeight="false" outlineLevel="0" collapsed="false">
      <c r="A9" s="5" t="s">
        <v>282</v>
      </c>
      <c r="B9" s="0" t="n">
        <f aca="false">COUNTIF(B5:D7,"&gt;"&amp;Assumptions!$B$7)</f>
        <v>8</v>
      </c>
      <c r="C9" s="0" t="s">
        <v>283</v>
      </c>
    </row>
    <row r="10" customFormat="false" ht="15" hidden="false" customHeight="false" outlineLevel="0" collapsed="false">
      <c r="A10" s="5" t="s">
        <v>284</v>
      </c>
      <c r="B10" s="0" t="n">
        <f aca="false">COUNTIF(B5:D7,"&gt;"&amp;Assumptions!$B$7*1.15)</f>
        <v>6</v>
      </c>
      <c r="C10" s="0" t="s">
        <v>283</v>
      </c>
    </row>
    <row r="12" customFormat="false" ht="15" hidden="false" customHeight="false" outlineLevel="0" collapsed="false">
      <c r="A12" s="12" t="s">
        <v>285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6"/>
    <col collapsed="false" customWidth="true" hidden="false" outlineLevel="0" max="3" min="3" style="0" width="14"/>
    <col collapsed="false" customWidth="true" hidden="false" outlineLevel="0" max="4" min="4" style="0" width="80"/>
  </cols>
  <sheetData>
    <row r="1" customFormat="false" ht="15" hidden="false" customHeight="false" outlineLevel="0" collapsed="false">
      <c r="A1" s="1" t="s">
        <v>286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287</v>
      </c>
      <c r="B4" s="4" t="s">
        <v>288</v>
      </c>
      <c r="C4" s="4" t="s">
        <v>289</v>
      </c>
      <c r="D4" s="4" t="s">
        <v>290</v>
      </c>
    </row>
    <row r="5" customFormat="false" ht="15" hidden="false" customHeight="false" outlineLevel="0" collapsed="false">
      <c r="A5" s="5" t="s">
        <v>291</v>
      </c>
      <c r="B5" s="0" t="s">
        <v>292</v>
      </c>
      <c r="C5" s="55" t="n">
        <f aca="false">Assumptions!$B$22</f>
        <v>20.92</v>
      </c>
      <c r="D5" s="0" t="s">
        <v>293</v>
      </c>
    </row>
    <row r="6" customFormat="false" ht="15" hidden="false" customHeight="false" outlineLevel="0" collapsed="false">
      <c r="A6" s="11" t="s">
        <v>294</v>
      </c>
    </row>
    <row r="7" customFormat="false" ht="15" hidden="false" customHeight="false" outlineLevel="0" collapsed="false">
      <c r="A7" s="0" t="s">
        <v>295</v>
      </c>
      <c r="B7" s="0" t="s">
        <v>296</v>
      </c>
      <c r="C7" s="56" t="n">
        <v>56.89</v>
      </c>
      <c r="D7" s="7" t="s">
        <v>297</v>
      </c>
    </row>
    <row r="8" customFormat="false" ht="15" hidden="false" customHeight="false" outlineLevel="0" collapsed="false">
      <c r="A8" s="0" t="s">
        <v>298</v>
      </c>
      <c r="B8" s="0" t="s">
        <v>299</v>
      </c>
      <c r="C8" s="56" t="n">
        <v>53.37</v>
      </c>
      <c r="D8" s="7" t="s">
        <v>300</v>
      </c>
    </row>
    <row r="9" customFormat="false" ht="15" hidden="false" customHeight="false" outlineLevel="0" collapsed="false">
      <c r="A9" s="0" t="s">
        <v>301</v>
      </c>
      <c r="B9" s="0" t="s">
        <v>302</v>
      </c>
      <c r="C9" s="56" t="n">
        <v>20.73</v>
      </c>
      <c r="D9" s="7" t="s">
        <v>303</v>
      </c>
    </row>
    <row r="10" customFormat="false" ht="15" hidden="false" customHeight="false" outlineLevel="0" collapsed="false">
      <c r="A10" s="0" t="s">
        <v>304</v>
      </c>
      <c r="B10" s="0" t="s">
        <v>305</v>
      </c>
      <c r="C10" s="56" t="n">
        <v>19.75</v>
      </c>
      <c r="D10" s="7" t="s">
        <v>306</v>
      </c>
    </row>
    <row r="11" customFormat="false" ht="15" hidden="false" customHeight="false" outlineLevel="0" collapsed="false">
      <c r="A11" s="0" t="s">
        <v>307</v>
      </c>
      <c r="B11" s="0" t="s">
        <v>308</v>
      </c>
      <c r="C11" s="56" t="n">
        <v>19.51</v>
      </c>
      <c r="D11" s="7" t="s">
        <v>309</v>
      </c>
    </row>
    <row r="12" customFormat="false" ht="15" hidden="false" customHeight="false" outlineLevel="0" collapsed="false">
      <c r="A12" s="5" t="s">
        <v>310</v>
      </c>
      <c r="C12" s="50" t="n">
        <f aca="false">MEDIAN(C7:C11)</f>
        <v>20.73</v>
      </c>
    </row>
    <row r="13" customFormat="false" ht="15" hidden="false" customHeight="false" outlineLevel="0" collapsed="false">
      <c r="A13" s="11" t="s">
        <v>311</v>
      </c>
    </row>
    <row r="14" customFormat="false" ht="15" hidden="false" customHeight="false" outlineLevel="0" collapsed="false">
      <c r="A14" s="0" t="s">
        <v>312</v>
      </c>
      <c r="B14" s="0" t="s">
        <v>313</v>
      </c>
      <c r="C14" s="56" t="n">
        <v>30.03</v>
      </c>
      <c r="D14" s="7" t="s">
        <v>314</v>
      </c>
    </row>
    <row r="15" customFormat="false" ht="15" hidden="false" customHeight="false" outlineLevel="0" collapsed="false">
      <c r="A15" s="0" t="s">
        <v>315</v>
      </c>
      <c r="B15" s="0" t="s">
        <v>316</v>
      </c>
      <c r="C15" s="56" t="n">
        <v>26.57</v>
      </c>
      <c r="D15" s="7" t="s">
        <v>317</v>
      </c>
    </row>
    <row r="16" customFormat="false" ht="15" hidden="false" customHeight="false" outlineLevel="0" collapsed="false">
      <c r="A16" s="0" t="s">
        <v>318</v>
      </c>
      <c r="B16" s="0" t="s">
        <v>319</v>
      </c>
      <c r="C16" s="56" t="n">
        <v>17.35</v>
      </c>
      <c r="D16" s="7" t="s">
        <v>320</v>
      </c>
    </row>
    <row r="17" customFormat="false" ht="15" hidden="false" customHeight="false" outlineLevel="0" collapsed="false">
      <c r="A17" s="0" t="s">
        <v>321</v>
      </c>
      <c r="B17" s="0" t="s">
        <v>322</v>
      </c>
      <c r="C17" s="56" t="n">
        <v>16.72</v>
      </c>
      <c r="D17" s="7" t="s">
        <v>323</v>
      </c>
    </row>
    <row r="18" customFormat="false" ht="15" hidden="false" customHeight="false" outlineLevel="0" collapsed="false">
      <c r="A18" s="0" t="s">
        <v>324</v>
      </c>
      <c r="B18" s="0" t="s">
        <v>325</v>
      </c>
      <c r="C18" s="56" t="n">
        <v>8.89</v>
      </c>
      <c r="D18" s="7" t="s">
        <v>326</v>
      </c>
    </row>
    <row r="19" customFormat="false" ht="15" hidden="false" customHeight="false" outlineLevel="0" collapsed="false">
      <c r="A19" s="5" t="s">
        <v>327</v>
      </c>
      <c r="C19" s="50" t="n">
        <f aca="false">MEDIAN(C14:C18)</f>
        <v>17.35</v>
      </c>
    </row>
    <row r="21" customFormat="false" ht="15" hidden="false" customHeight="false" outlineLevel="0" collapsed="false">
      <c r="A21" s="0" t="s">
        <v>328</v>
      </c>
      <c r="B21" s="0" t="s">
        <v>329</v>
      </c>
      <c r="C21" s="56" t="n">
        <v>44.54</v>
      </c>
      <c r="D21" s="0" t="s">
        <v>330</v>
      </c>
    </row>
    <row r="23" customFormat="false" ht="15" hidden="false" customHeight="false" outlineLevel="0" collapsed="false">
      <c r="A23" s="12" t="s">
        <v>331</v>
      </c>
    </row>
    <row r="24" customFormat="false" ht="15" hidden="false" customHeight="false" outlineLevel="0" collapsed="false">
      <c r="A24" s="12" t="s">
        <v>332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30"/>
  </cols>
  <sheetData>
    <row r="1" customFormat="false" ht="15" hidden="false" customHeight="false" outlineLevel="0" collapsed="false">
      <c r="A1" s="1" t="s">
        <v>333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334</v>
      </c>
      <c r="B4" s="4" t="s">
        <v>335</v>
      </c>
    </row>
    <row r="5" customFormat="false" ht="23.85" hidden="false" customHeight="false" outlineLevel="0" collapsed="false">
      <c r="A5" s="0" t="n">
        <v>1</v>
      </c>
      <c r="B5" s="7" t="s">
        <v>336</v>
      </c>
    </row>
    <row r="6" customFormat="false" ht="35.05" hidden="false" customHeight="false" outlineLevel="0" collapsed="false">
      <c r="A6" s="0" t="n">
        <v>2</v>
      </c>
      <c r="B6" s="7" t="s">
        <v>337</v>
      </c>
    </row>
    <row r="7" customFormat="false" ht="35.05" hidden="false" customHeight="false" outlineLevel="0" collapsed="false">
      <c r="A7" s="0" t="n">
        <v>3</v>
      </c>
      <c r="B7" s="7" t="s">
        <v>338</v>
      </c>
    </row>
    <row r="8" customFormat="false" ht="57.45" hidden="false" customHeight="false" outlineLevel="0" collapsed="false">
      <c r="A8" s="0" t="n">
        <v>4</v>
      </c>
      <c r="B8" s="7" t="s">
        <v>339</v>
      </c>
    </row>
    <row r="9" customFormat="false" ht="23.85" hidden="false" customHeight="false" outlineLevel="0" collapsed="false">
      <c r="A9" s="0" t="n">
        <v>5</v>
      </c>
      <c r="B9" s="7" t="s">
        <v>340</v>
      </c>
    </row>
    <row r="10" customFormat="false" ht="23.85" hidden="false" customHeight="false" outlineLevel="0" collapsed="false">
      <c r="A10" s="0" t="n">
        <v>6</v>
      </c>
      <c r="B10" s="7" t="s">
        <v>341</v>
      </c>
    </row>
    <row r="11" customFormat="false" ht="23.85" hidden="false" customHeight="false" outlineLevel="0" collapsed="false">
      <c r="A11" s="0" t="n">
        <v>7</v>
      </c>
      <c r="B11" s="7" t="s">
        <v>342</v>
      </c>
    </row>
    <row r="12" customFormat="false" ht="23.85" hidden="false" customHeight="false" outlineLevel="0" collapsed="false">
      <c r="A12" s="0" t="n">
        <v>8</v>
      </c>
      <c r="B12" s="7" t="s">
        <v>343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2026-10-06T17:11:03Z</dcterms:created>
  <dc:creator>openpyxl</dc:creator>
  <dc:description/>
  <dc:language>en-GB</dc:language>
  <cp:lastModifiedBy/>
  <dcterms:modified xsi:type="dcterms:W3CDTF">2026-10-06T17:11:03Z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