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Dilution" sheetId="3" state="visible" r:id="rId5"/>
    <sheet name="Quarterly" sheetId="4" state="visible" r:id="rId6"/>
    <sheet name="Financials" sheetId="5" state="visible" r:id="rId7"/>
    <sheet name="Scenarios" sheetId="6" state="visible" r:id="rId8"/>
    <sheet name="Capacity" sheetId="7" state="visible" r:id="rId9"/>
    <sheet name="Valuation" sheetId="8" state="visible" r:id="rId10"/>
    <sheet name="Sensitivity" sheetId="9" state="visible" r:id="rId11"/>
    <sheet name="Peers" sheetId="10" state="visible" r:id="rId12"/>
    <sheet name="Source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<sst xmlns="http://schemas.openxmlformats.org/spreadsheetml/2006/main" count="437" uniqueCount="352">
  <si>
    <t xml:space="preserve">BLOOM ENERGY (NYSE: BE)  INITIATION MODEL</t>
  </si>
  <si>
    <t xml:space="preserve">Tommy Lau | Bloom Energy (NYSE: BE) | 6 October 2026 | Non-GAAP basis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</si>
  <si>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</si>
  <si>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</si>
  <si>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</si>
  <si>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</si>
  <si>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call, published 6 Oct 2026.</t>
  </si>
  <si>
    <t xml:space="preserve">Conviction</t>
  </si>
  <si>
    <t xml:space="preserve">Medium</t>
  </si>
  <si>
    <t xml:space="preserve">Judgement, not formula.</t>
  </si>
  <si>
    <t xml:space="preserve">Reference price, US$</t>
  </si>
  <si>
    <t xml:space="preserve">NYSE close, 5 October 2026.</t>
  </si>
  <si>
    <t xml:space="preserve">Base value, US$</t>
  </si>
  <si>
    <t xml:space="preserve">40x 2028E EPS.</t>
  </si>
  <si>
    <t xml:space="preserve">Base value against the price</t>
  </si>
  <si>
    <t xml:space="preserve">Probability-weighted value, US$</t>
  </si>
  <si>
    <t xml:space="preserve">25 / 50 / 25 bear / base / bull.</t>
  </si>
  <si>
    <t xml:space="preserve">2026E / 2027E / 2028E EPS, US$</t>
  </si>
  <si>
    <t xml:space="preserve">Own estimates, non-GAAP, fully diluted.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</si>
  <si>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</si>
  <si>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</si>
  <si>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</si>
  <si>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</si>
  <si>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Bloom's 2027 revenue of US$7bn or more with non-GAAP gross margin of 36% or more; or the shares close above US$360 or below US$200 by October 2027.</t>
  </si>
  <si>
    <t xml:space="preserve">Revisit if</t>
  </si>
  <si>
    <t xml:space="preserve">A price above about US$322 (consider short) or below about US$210 (consider long); a 2027 guide below 40% growth; or product gross margin of 38% or more in two quarters running.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</si>
  <si>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</si>
  <si>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</si>
  <si>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</si>
  <si>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Dilution</t>
  </si>
  <si>
    <t xml:space="preserve">Shares outstanding, convertible notes, staff awards, the Oracle warrant; the fully diluted count.</t>
  </si>
  <si>
    <t xml:space="preserve">Quarterly</t>
  </si>
  <si>
    <t xml:space="preserve">Q1 2024 to Q2 2026 reported, my Q3 and Q4 2026; product and service margins, related-party sales.</t>
  </si>
  <si>
    <t xml:space="preserve">Financials</t>
  </si>
  <si>
    <t xml:space="preserve">2024A to 2028E: revenue, margins, operating income, net profit, EPS, P/E, megawatt-equivalents.</t>
  </si>
  <si>
    <t xml:space="preserve">Scenarios</t>
  </si>
  <si>
    <t xml:space="preserve">Bear / base / bull and the probability-weighted value.</t>
  </si>
  <si>
    <t xml:space="preserve">Capacity</t>
  </si>
  <si>
    <t xml:space="preserve">Revenue converted to gigawatts at AEP's price, against the factory.</t>
  </si>
  <si>
    <t xml:space="preserve">Valuation</t>
  </si>
  <si>
    <t xml:space="preserve">Base value, market value, multiples, what the price needs.</t>
  </si>
  <si>
    <t xml:space="preserve">Sensitivity</t>
  </si>
  <si>
    <t xml:space="preserve">2028E EPS against multiple.</t>
  </si>
  <si>
    <t xml:space="preserve">Peers</t>
  </si>
  <si>
    <t xml:space="preserve">Forward multiples used to set the base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</si>
  <si>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</si>
  <si>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</si>
  <si>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</si>
  <si>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2026-10-06_BloomEnergy_Initiation.pdf.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</si>
  <si>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</si>
  <si>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billion unless stated; per-share figures in US$. Non-GAAP basis unless marked GAAP.</t>
  </si>
  <si>
    <t xml:space="preserve">Input</t>
  </si>
  <si>
    <t xml:space="preserve">Unit</t>
  </si>
  <si>
    <t xml:space="preserve">Source / note</t>
  </si>
  <si>
    <t xml:space="preserve">MARKET (retrieved 6 October 2026)</t>
  </si>
  <si>
    <t xml:space="preserve">Share price (NYSE: BE)</t>
  </si>
  <si>
    <t xml:space="preserve">US$</t>
  </si>
  <si>
    <t xml:space="preserve">NYSE close, 5 October 2026. Yahoo Finance.</t>
  </si>
  <si>
    <t xml:space="preserve">52-week high (intraday, 25 June 2026)</t>
  </si>
  <si>
    <t xml:space="preserve">Yahoo Finance.</t>
  </si>
  <si>
    <t xml:space="preserve">Highest close (22 June 2026)</t>
  </si>
  <si>
    <t xml:space="preserve">Month-end close, 31 Dec 2025</t>
  </si>
  <si>
    <t xml:space="preserve">Shares outstanding, 22 Jul 2026</t>
  </si>
  <si>
    <t xml:space="preserve">bn</t>
  </si>
  <si>
    <t xml:space="preserve">10-Q cover: 294,527,346.</t>
  </si>
  <si>
    <t xml:space="preserve">Cash and equivalents, 30 Jun 2026</t>
  </si>
  <si>
    <t xml:space="preserve">US$bn</t>
  </si>
  <si>
    <t xml:space="preserve">Q2 2026 release: 2,666.9m (excludes restricted cash).</t>
  </si>
  <si>
    <t xml:space="preserve">Debt principal, 30 Jun 2026</t>
  </si>
  <si>
    <t xml:space="preserve">10-Q: 0% 2030 notes 2,500.0m; Green 2029 27.0m; Green 2028 0.8m (redeemed 10 Jul); Korea loan 2.6m.</t>
  </si>
  <si>
    <t xml:space="preserve">Financing obligations, 30 Jun 2026 (not in net cash)</t>
  </si>
  <si>
    <t xml:space="preserve">Old sale-leaseback structures: 62.0m current + 144.4m long-term.</t>
  </si>
  <si>
    <t xml:space="preserve">2026 consensus EPS</t>
  </si>
  <si>
    <t xml:space="preserve">stockanalysis.com, 25 analysts, retrieved 6 October 2026.</t>
  </si>
  <si>
    <t xml:space="preserve">2027 consensus EPS</t>
  </si>
  <si>
    <t xml:space="preserve">Nasdaq.com (Zacks), 6 estimates.</t>
  </si>
  <si>
    <t xml:space="preserve">2028 consensus EPS</t>
  </si>
  <si>
    <t xml:space="preserve">Nasdaq.com (Zacks), 2 estimates.</t>
  </si>
  <si>
    <t xml:space="preserve">Q3 2026 consensus EPS</t>
  </si>
  <si>
    <t xml:space="preserve">Nasdaq.com (Zacks), 4 estimates.</t>
  </si>
  <si>
    <t xml:space="preserve">Forward P/E shown by stockanalysis.com</t>
  </si>
  <si>
    <t xml:space="preserve">x</t>
  </si>
  <si>
    <t xml:space="preserve">stockanalysis.com, 6 October 2026.</t>
  </si>
  <si>
    <t xml:space="preserve">Average analyst target</t>
  </si>
  <si>
    <t xml:space="preserve">stockanalysis.com, 29 analysts; median US$303, range US$97 to 390.</t>
  </si>
  <si>
    <t xml:space="preserve">REPORTED (Bloom releases, Form 10-K, Form 10-Q)</t>
  </si>
  <si>
    <t xml:space="preserve">Revenue, H1 2026</t>
  </si>
  <si>
    <t xml:space="preserve">Q2 2026 release: 751.1 + 1,065.4.</t>
  </si>
  <si>
    <t xml:space="preserve">Non-GAAP gross profit, H1 2026</t>
  </si>
  <si>
    <t xml:space="preserve">Q2 2026 release: 236.3 + 365.4.</t>
  </si>
  <si>
    <t xml:space="preserve">Non-GAAP operating expenses, H1 2026</t>
  </si>
  <si>
    <t xml:space="preserve">Q2 2026 release: 106.6 + 125.7.</t>
  </si>
  <si>
    <t xml:space="preserve">Non-GAAP operating income, H1 2026</t>
  </si>
  <si>
    <t xml:space="preserve">Q2 2026 release: 129.7 + 239.6.</t>
  </si>
  <si>
    <t xml:space="preserve">Adjusted net profit, H1 2026</t>
  </si>
  <si>
    <t xml:space="preserve">Q2 2026 release: 138.1 + 248.2.</t>
  </si>
  <si>
    <t xml:space="preserve">Non-GAAP diluted EPS, H1 2026</t>
  </si>
  <si>
    <t xml:space="preserve">Q2 2026 release: 0.44 + 0.78.</t>
  </si>
  <si>
    <t xml:space="preserve">2026 revenue guide, low</t>
  </si>
  <si>
    <t xml:space="preserve">Release of 28 July 2026.</t>
  </si>
  <si>
    <t xml:space="preserve">2026 revenue guide, high</t>
  </si>
  <si>
    <t xml:space="preserve">Same.</t>
  </si>
  <si>
    <t xml:space="preserve">2026 non-GAAP EPS guide, low</t>
  </si>
  <si>
    <t xml:space="preserve">2026 non-GAAP EPS guide, high</t>
  </si>
  <si>
    <t xml:space="preserve">2026 non-GAAP operating income guide, low</t>
  </si>
  <si>
    <t xml:space="preserve">2026 non-GAAP operating income guide, high</t>
  </si>
  <si>
    <t xml:space="preserve">Stock-based compensation in operating costs, Q2 2026</t>
  </si>
  <si>
    <t xml:space="preserve">Q2 2026 reconciliation: 56.4m.</t>
  </si>
  <si>
    <t xml:space="preserve">Non-GAAP operating income, Q2 2026</t>
  </si>
  <si>
    <t xml:space="preserve">Q2 2026 release.</t>
  </si>
  <si>
    <t xml:space="preserve">AEP order value</t>
  </si>
  <si>
    <t xml:space="preserve">Exercise of most of AEP's 900 MW option, reported 8 January 2026.</t>
  </si>
  <si>
    <t xml:space="preserve">AEP option size</t>
  </si>
  <si>
    <t xml:space="preserve">GW</t>
  </si>
  <si>
    <t xml:space="preserve">900 MW balance of AEP's 1 GW agreement (Nov 2024).</t>
  </si>
  <si>
    <t xml:space="preserve">Fremont annual capacity, end-2026 plan</t>
  </si>
  <si>
    <t xml:space="preserve">Form 10-K for 2025: doubling from 1 GW to 2 GW by end of 2026.</t>
  </si>
  <si>
    <t xml:space="preserve">MY ASSUMPTIONS</t>
  </si>
  <si>
    <t xml:space="preserve">Revenue, Q3 2026</t>
  </si>
  <si>
    <t xml:space="preserve">MINE. Guide implies H2 of US$2.08 to 2.38bn.</t>
  </si>
  <si>
    <t xml:space="preserve">Revenue, Q4 2026</t>
  </si>
  <si>
    <t xml:space="preserve">MINE.</t>
  </si>
  <si>
    <t xml:space="preserve">Non-GAAP gross margin, Q3 2026</t>
  </si>
  <si>
    <t xml:space="preserve">%</t>
  </si>
  <si>
    <t xml:space="preserve">MINE. Guide about 34% for the year; H1 33.1%.</t>
  </si>
  <si>
    <t xml:space="preserve">Non-GAAP gross margin, Q4 2026</t>
  </si>
  <si>
    <t xml:space="preserve">Non-GAAP operating expenses, Q3 2026</t>
  </si>
  <si>
    <t xml:space="preserve">MINE. Q2: 0.126.</t>
  </si>
  <si>
    <t xml:space="preserve">Non-GAAP operating expenses, Q4 2026</t>
  </si>
  <si>
    <t xml:space="preserve">Adjusted net profit less non-GAAP operating income, per quarter, before tax</t>
  </si>
  <si>
    <t xml:space="preserve">MINE. Q1 and Q2 2026: about 0.008 (net interest income).</t>
  </si>
  <si>
    <t xml:space="preserve">Same, per year, 2027 and 2028</t>
  </si>
  <si>
    <t xml:space="preserve">Non-GAAP tax rate, H2 2026</t>
  </si>
  <si>
    <t xml:space="preserve">MINE. H1 2026 effective rate 0.7% (valuation allowance).</t>
  </si>
  <si>
    <t xml:space="preserve">Non-GAAP tax rate, 2027</t>
  </si>
  <si>
    <t xml:space="preserve">MINE. Losses carried forward run down.</t>
  </si>
  <si>
    <t xml:space="preserve">Non-GAAP tax rate, 2028</t>
  </si>
  <si>
    <t xml:space="preserve">Net new shares a year from staff awards</t>
  </si>
  <si>
    <t xml:space="preserve">Product share of revenue, for megawatt conversion</t>
  </si>
  <si>
    <t xml:space="preserve">MINE. H1 2026: 87.5%.</t>
  </si>
  <si>
    <t xml:space="preserve">Target multiple on 2028E EPS (base)</t>
  </si>
  <si>
    <t xml:space="preserve">MINE. Below GE Vernova, above Vertiv (Peers tab).</t>
  </si>
  <si>
    <t xml:space="preserve">SHARE COUNT, COUNTED FULLY DILUTED</t>
  </si>
  <si>
    <t xml:space="preserve">Line</t>
  </si>
  <si>
    <t xml:space="preserve">Working / note</t>
  </si>
  <si>
    <t xml:space="preserve">Shares outstanding, 22 Jul 2026, bn</t>
  </si>
  <si>
    <t xml:space="preserve">10-Q cover.</t>
  </si>
  <si>
    <t xml:space="preserve">0% notes due Nov 2030, principal, US$bn</t>
  </si>
  <si>
    <t xml:space="preserve">Issued 4 Nov 2025.</t>
  </si>
  <si>
    <t xml:space="preserve">Conversion rate, shares per US$1,000</t>
  </si>
  <si>
    <t xml:space="preserve">Conversion price US$194.97.</t>
  </si>
  <si>
    <t xml:space="preserve">Shares on conversion, bn</t>
  </si>
  <si>
    <t xml:space="preserve">Up to 19.554m after a make-whole fundamental change.</t>
  </si>
  <si>
    <t xml:space="preserve">3.0% Green notes due Jun 2029, principal outstanding, US$bn</t>
  </si>
  <si>
    <t xml:space="preserve">After US$147m of Green notes converted in H1 2026.</t>
  </si>
  <si>
    <t xml:space="preserve">Conversion price US$20.84.</t>
  </si>
  <si>
    <t xml:space="preserve">Stock options and awards in the Q2 2026 diluted count, bn</t>
  </si>
  <si>
    <t xml:space="preserve">10-Q Note 15, treasury stock method.</t>
  </si>
  <si>
    <t xml:space="preserve">Fully diluted shares, bn</t>
  </si>
  <si>
    <t xml:space="preserve">Used for H2 2026 EPS; Q2 2026 reported diluted: 323.3m.</t>
  </si>
  <si>
    <t xml:space="preserve">Note conversions against shares outstanding</t>
  </si>
  <si>
    <t xml:space="preserve">Early-conversion trigger price (130% of US$194.97), US$</t>
  </si>
  <si>
    <t xml:space="preserve">20 of the last 30 trading days of a quarter.</t>
  </si>
  <si>
    <t xml:space="preserve">Q3 2026 trading days of the last 30 closing above it</t>
  </si>
  <si>
    <t xml:space="preserve">My count of Yahoo Finance closes; 20 needed. Not verified against the trustee.</t>
  </si>
  <si>
    <t xml:space="preserve">Stock-based compensation, Q2 2026, US$bn</t>
  </si>
  <si>
    <t xml:space="preserve">Excluded from non-GAAP figures.</t>
  </si>
  <si>
    <t xml:space="preserve">Against non-GAAP operating income, Q2 2026</t>
  </si>
  <si>
    <t xml:space="preserve">Oracle warrant: shares issued on exercise, m</t>
  </si>
  <si>
    <t xml:space="preserve">1,905,433 on net exercise plus 248,798 inducement shares, 1 May 2026.</t>
  </si>
  <si>
    <t xml:space="preserve">Oracle warrant: value to come off revenue, US$bn</t>
  </si>
  <si>
    <t xml:space="preserve">Amortised as Oracle's systems are delivered; US$17.9m so far.</t>
  </si>
  <si>
    <t xml:space="preserve">QUARTERLY HISTORY, Q1 2024 TO Q2 2026, AND MY Q3 / Q4 2026</t>
  </si>
  <si>
    <t xml:space="preserve">US$ billion unless stated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</si>
  <si>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</si>
  <si>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</si>
  <si>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</si>
  <si>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</si>
  <si>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</si>
  <si>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</si>
  <si>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</si>
  <si>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</si>
  <si>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</si>
  <si>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</si>
  <si>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Q3 26E</t>
  </si>
  <si>
    <t xml:space="preserve">Q4 26E</t>
  </si>
  <si>
    <t xml:space="preserve">Revenue</t>
  </si>
  <si>
    <t xml:space="preserve">Product revenue</t>
  </si>
  <si>
    <t xml:space="preserve">Product cost of revenue</t>
  </si>
  <si>
    <t xml:space="preserve">Product gross margin, GAAP (derived)</t>
  </si>
  <si>
    <t xml:space="preserve">Service revenue</t>
  </si>
  <si>
    <t xml:space="preserve">Service cost of revenue</t>
  </si>
  <si>
    <t xml:space="preserve">Service gross margin, GAAP (derived)</t>
  </si>
  <si>
    <t xml:space="preserve">Gross margin, GAAP (reported)</t>
  </si>
  <si>
    <t xml:space="preserve">Gross margin, non-GAAP (reported; Q3 / Q4 26 mine)</t>
  </si>
  <si>
    <t xml:space="preserve">Non-GAAP operating income (Q3 / Q4 26 mine)</t>
  </si>
  <si>
    <t xml:space="preserve">Non-GAAP diluted EPS, US$ (reported; Q3 / Q4 26 mine)</t>
  </si>
  <si>
    <t xml:space="preserve">Revenue to related parties</t>
  </si>
  <si>
    <t xml:space="preserve">Related-party share of revenue (derived)</t>
  </si>
  <si>
    <t xml:space="preserve">Checks</t>
  </si>
  <si>
    <t xml:space="preserve">Trailing four quarters non-GAAP EPS to Q2 26</t>
  </si>
  <si>
    <t xml:space="preserve">Product gross margin, H1 2026</t>
  </si>
  <si>
    <t xml:space="preserve">Revenue, H1 2026 against H1 2024 (times)</t>
  </si>
  <si>
    <t xml:space="preserve">Revenue growth, Q2 2026 on Q2 2025</t>
  </si>
  <si>
    <t xml:space="preserve">H2 2026E revenue against the guide's implied H2 (low / high)</t>
  </si>
  <si>
    <t xml:space="preserve">Source: Bloom results releases (Exhibit 99.1 to Form 8-K): Q2 2024 (with Q1 2024), Q2 2025 (with Q1 2025), Q3 2025 (with Q3 2024), Q4 2025 (with Q4 2024), Q2 2026 (with Q1 2026).</t>
  </si>
  <si>
    <t xml:space="preserve">Q3 26E and Q4 26E are my estimates: EPS = (revenue x gross margin - operating costs + other income) x (1 - tax) / fully diluted shares (Dilution tab).</t>
  </si>
  <si>
    <t xml:space="preserve">FINANCIAL SUMMARY AND FORECASTS (US$ billion unless stated, non-GAAP basis)</t>
  </si>
  <si>
    <t xml:space="preserve">2024A</t>
  </si>
  <si>
    <t xml:space="preserve">2025A</t>
  </si>
  <si>
    <t xml:space="preserve">2026E*</t>
  </si>
  <si>
    <t xml:space="preserve">2027E*</t>
  </si>
  <si>
    <t xml:space="preserve">2028E*</t>
  </si>
  <si>
    <t xml:space="preserve">Revenue growth</t>
  </si>
  <si>
    <t xml:space="preserve">Product gross margin, GAAP (2026: H1)</t>
  </si>
  <si>
    <t xml:space="preserve">Gross profit</t>
  </si>
  <si>
    <t xml:space="preserve">Gross margin</t>
  </si>
  <si>
    <t xml:space="preserve">Operating expenses</t>
  </si>
  <si>
    <t xml:space="preserve">Operating income</t>
  </si>
  <si>
    <t xml:space="preserve">Operating margin</t>
  </si>
  <si>
    <t xml:space="preserve">Other income less operating income gap (2026: H1 actual plus H2)</t>
  </si>
  <si>
    <t xml:space="preserve">Tax rate (2026: H2)</t>
  </si>
  <si>
    <t xml:space="preserve">Adjusted net profit</t>
  </si>
  <si>
    <t xml:space="preserve">Diluted EPS, US$</t>
  </si>
  <si>
    <t xml:space="preserve">EPS growth</t>
  </si>
  <si>
    <t xml:space="preserve">P/E at reference price</t>
  </si>
  <si>
    <t xml:space="preserve">Consensus EPS, US$</t>
  </si>
  <si>
    <t xml:space="preserve">Mine against consensus</t>
  </si>
  <si>
    <t xml:space="preserve">Product megawatt-equivalents, GW (derived)</t>
  </si>
  <si>
    <t xml:space="preserve">*2026E to 2028E are my own estimates. 2026E = reported H1 plus my Q3 and Q4 (Quarterly tab). 2027E and 2028E use the base case on the Scenarios tab (row 6).</t>
  </si>
  <si>
    <t xml:space="preserve">2024A and 2025A gross profit use the reported non-GAAP gross margins (28.7%, 30.3%); operating income and EPS as reported in the Q4 2025 release.</t>
  </si>
  <si>
    <t xml:space="preserve">Note check: 2026E revenue 4.07, EPS 2.78; 2027E 6.30, 4.43; 2028E 8.70, 6.03.</t>
  </si>
  <si>
    <t xml:space="preserve">THREE CASES, TWELVE MONTHS OUT</t>
  </si>
  <si>
    <t xml:space="preserve">Case</t>
  </si>
  <si>
    <t xml:space="preserve">Growth 27</t>
  </si>
  <si>
    <t xml:space="preserve">Growth 28</t>
  </si>
  <si>
    <t xml:space="preserve">GM 27</t>
  </si>
  <si>
    <t xml:space="preserve">GM 28</t>
  </si>
  <si>
    <t xml:space="preserve">Opex 27</t>
  </si>
  <si>
    <t xml:space="preserve">Opex 28</t>
  </si>
  <si>
    <t xml:space="preserve">2027 revenue</t>
  </si>
  <si>
    <t xml:space="preserve">2028 revenue</t>
  </si>
  <si>
    <t xml:space="preserve">2028 op. income</t>
  </si>
  <si>
    <t xml:space="preserve">2028 net profit</t>
  </si>
  <si>
    <t xml:space="preserve">2028 EPS</t>
  </si>
  <si>
    <t xml:space="preserve">Multiple</t>
  </si>
  <si>
    <t xml:space="preserve">Value, US$</t>
  </si>
  <si>
    <t xml:space="preserve">vs price</t>
  </si>
  <si>
    <t xml:space="preserve">2028 GW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</si>
  <si>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</si>
  <si>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</si>
  <si>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</si>
  <si>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</si>
  <si>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</si>
  <si>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All cases start from my 2026E and use 2028 fully diluted shares from the Financials tab. Gross margin is non-GAAP; Opex is non-GAAP operating costs, US$bn.</t>
  </si>
  <si>
    <t xml:space="preserve">Bear: faster grid connections and more turbine supply narrow the window Bloom sells into. Bull: Oracle's 2.8 GW and Brookfield's US$25bn fill, Fremont expands fast.</t>
  </si>
  <si>
    <t xml:space="preserve">The base row (6) drives the Financials tab for 2027E and 2028E.</t>
  </si>
  <si>
    <t xml:space="preserve">THE FACTORY IS THE CEILING: REVENUE CONVERTED TO GIGAWATTS (DERIVED)</t>
  </si>
  <si>
    <t xml:space="preserve">AEP order, US$bn</t>
  </si>
  <si>
    <t xml:space="preserve">Reported 8 January 2026.</t>
  </si>
  <si>
    <t xml:space="preserve">Price per megawatt, US$m</t>
  </si>
  <si>
    <t xml:space="preserve">My unit for converting revenue to megawatts. Bloom does not report MW shipped.</t>
  </si>
  <si>
    <t xml:space="preserve">Product share of revenue</t>
  </si>
  <si>
    <t xml:space="preserve">H1 2026.</t>
  </si>
  <si>
    <t xml:space="preserve">2026E, GW</t>
  </si>
  <si>
    <t xml:space="preserve">2027E, GW</t>
  </si>
  <si>
    <t xml:space="preserve">2028E base, GW</t>
  </si>
  <si>
    <t xml:space="preserve">Fremont annual capacity by end 2026, GW</t>
  </si>
  <si>
    <t xml:space="preserve">Site room for about 5 GW (10-K).</t>
  </si>
  <si>
    <t xml:space="preserve">Revenue a 2 GW factory supports at that price, US$bn</t>
  </si>
  <si>
    <t xml:space="preserve">2028 GW the price needs (Valuation tab)</t>
  </si>
  <si>
    <t xml:space="preserve">VALUATION: 40x 2028E EPS, TWELVE MONTHS OUT</t>
  </si>
  <si>
    <t xml:space="preserve">2028E diluted EPS, US$</t>
  </si>
  <si>
    <t xml:space="preserve">The market will be pricing 2028 by October 2027.</t>
  </si>
  <si>
    <t xml:space="preserve">Base multiple, x</t>
  </si>
  <si>
    <t xml:space="preserve">Assumptions tab.</t>
  </si>
  <si>
    <t xml:space="preserve">Base-case value per share, US$</t>
  </si>
  <si>
    <t xml:space="preserve">EPS x multiple.</t>
  </si>
  <si>
    <t xml:space="preserve">Scenarios tab.</t>
  </si>
  <si>
    <t xml:space="preserve">Rule on value alone (15% either side)</t>
  </si>
  <si>
    <t xml:space="preserve">Mechanical only. The call below is judgement.</t>
  </si>
  <si>
    <t xml:space="preserve">CALL</t>
  </si>
  <si>
    <t xml:space="preserve">NO CALL</t>
  </si>
  <si>
    <t xml:space="preserve">No call, leaning short: the base is only just outside the band and the stock moves 25% on one print.</t>
  </si>
  <si>
    <t xml:space="preserve">Market value on shares outstanding, US$bn</t>
  </si>
  <si>
    <t xml:space="preserve">Net cash, US$bn</t>
  </si>
  <si>
    <t xml:space="preserve">30 June 2026; excludes US$0.21bn of financing obligations.</t>
  </si>
  <si>
    <t xml:space="preserve">Enterprise value, US$bn</t>
  </si>
  <si>
    <t xml:space="preserve">Change since 31 Dec 2025</t>
  </si>
  <si>
    <t xml:space="preserve">Price below the highest close</t>
  </si>
  <si>
    <t xml:space="preserve">P/E on my 2026E</t>
  </si>
  <si>
    <t xml:space="preserve">P/E on my 2027E</t>
  </si>
  <si>
    <t xml:space="preserve">P/E on my 2028E</t>
  </si>
  <si>
    <t xml:space="preserve">P/E on the 2026 EPS guide midpoint</t>
  </si>
  <si>
    <t xml:space="preserve">P/E on the 2028 consensus</t>
  </si>
  <si>
    <t xml:space="preserve">P/E on trailing four quarters EPS</t>
  </si>
  <si>
    <t xml:space="preserve">2028 EPS the price needs at the base multiple, US$</t>
  </si>
  <si>
    <t xml:space="preserve">What the market prices in.</t>
  </si>
  <si>
    <t xml:space="preserve">2028 operating income that needs, US$bn</t>
  </si>
  <si>
    <t xml:space="preserve">2028 revenue that needs at base margin and costs, US$bn</t>
  </si>
  <si>
    <t xml:space="preserve">Against my base US$8.70bn.</t>
  </si>
  <si>
    <t xml:space="preserve">That against my 2028E base revenue</t>
  </si>
  <si>
    <t xml:space="preserve">2028 GW that needs (derived)</t>
  </si>
  <si>
    <t xml:space="preserve">Against 2 GW of planned factory capacity.</t>
  </si>
  <si>
    <t xml:space="preserve">Price that puts the base case 15% above (revisit as long)</t>
  </si>
  <si>
    <t xml:space="preserve">Price that puts the base case 25% below (revisit as short)</t>
  </si>
  <si>
    <t xml:space="preserve">VALUE PER SHARE: 2028E EPS AGAINST MULTIPLE (US$)</t>
  </si>
  <si>
    <t xml:space="preserve">2028 EPS \ multiple</t>
  </si>
  <si>
    <t xml:space="preserve">Cells above the reference price</t>
  </si>
  <si>
    <t xml:space="preserve">of 9</t>
  </si>
  <si>
    <t xml:space="preserve">Middle row links to the model's 2028E EPS and the middle column to the base multiple.</t>
  </si>
  <si>
    <t xml:space="preserve">PEER MULTIPLES (FORWARD P/E, stockanalysis.com, 6 OCTOBER 2026)</t>
  </si>
  <si>
    <t xml:space="preserve">Company</t>
  </si>
  <si>
    <t xml:space="preserve">Ticker</t>
  </si>
  <si>
    <t xml:space="preserve">Forward P/E</t>
  </si>
  <si>
    <t xml:space="preserve">What they make</t>
  </si>
  <si>
    <t xml:space="preserve">Bloom Energy</t>
  </si>
  <si>
    <t xml:space="preserve">NYSE: BE</t>
  </si>
  <si>
    <t xml:space="preserve">Solid oxide fuel cell systems for on-site power, and their maintenance</t>
  </si>
  <si>
    <t xml:space="preserve">GE Vernova</t>
  </si>
  <si>
    <t xml:space="preserve">NYSE: GEV</t>
  </si>
  <si>
    <t xml:space="preserve">Gas turbines, grid equipment and wind turbines</t>
  </si>
  <si>
    <t xml:space="preserve">Vertiv</t>
  </si>
  <si>
    <t xml:space="preserve">NYSE: VRT</t>
  </si>
  <si>
    <t xml:space="preserve">Power and cooling equipment for data centres</t>
  </si>
  <si>
    <t xml:space="preserve">Caterpillar</t>
  </si>
  <si>
    <t xml:space="preserve">NYSE: CAT</t>
  </si>
  <si>
    <t xml:space="preserve">Gas and diesel engine generators, plus construction and mining machines</t>
  </si>
  <si>
    <t xml:space="preserve">Siemens Energy</t>
  </si>
  <si>
    <t xml:space="preserve">Xetra: ENR</t>
  </si>
  <si>
    <t xml:space="preserve">Cummins</t>
  </si>
  <si>
    <t xml:space="preserve">NYSE: CMI</t>
  </si>
  <si>
    <t xml:space="preserve">Engines and generator sets</t>
  </si>
  <si>
    <t xml:space="preserve">FuelCell Energy</t>
  </si>
  <si>
    <t xml:space="preserve">Nasdaq: FCEL</t>
  </si>
  <si>
    <t xml:space="preserve">n/m</t>
  </si>
  <si>
    <t xml:space="preserve">Carbonate and solid oxide fuel cells; loss-making, no forward P/E</t>
  </si>
  <si>
    <t xml:space="preserve">Median, power equipment peers (GE Vernova to Cummins)</t>
  </si>
  <si>
    <t xml:space="preserve">Siemens Energy on its Frankfurt listing. FuelCell Energy is loss-making. Multiples only, to set the base multiple.</t>
  </si>
  <si>
    <t xml:space="preserve">No view on the peers' shares is expressed.</t>
  </si>
  <si>
    <t xml:space="preserve">SOURCES</t>
  </si>
  <si>
    <t xml:space="preserve">No.</t>
  </si>
  <si>
    <t xml:space="preserve">Source and what it supports</t>
  </si>
  <si>
    <t xml:space="preserve">Bloom results releases (Exhibit 99.1 to Form 8-K): Q2 2024, Q2 2025, Q3 2025, Q4 2025 (5 February 2026) and Q2 2026 (28 July 2026), with their comparative quarters: revenue and cost by line, GAAP and non-GAAP margins, operating income, EPS, related-party revenue, guidance, backlog.</t>
  </si>
  <si>
    <t xml:space="preserve">Bloom Form 10-K for 2025: backlog definitions; service contracts of 5 to 20 years, terminable for convenience each year; 1 GW to 2 GW capacity plan; grid queues and the SPP 90-day study route approved by FERC in January 2026.</t>
  </si>
  <si>
    <t xml:space="preserve">Bloom Form 10-Q for Q2 2026: debt table and note terms, Green note conversions, Oracle warrant (3,531,073 at US$113.28; exercised 1 May 2026), EPS reconciliation, Brookfield joint ventures, customer concentration, the 8 July 2026 short report.</t>
  </si>
  <si>
    <t xml:space="preserve">Bloom announcements: Oracle, up to 2.8 GW with 1.2 GW contracted (13 April 2026); Brookfield framework to US$25bn (30 June 2026); Power Connect (19 August 2026); Q3 2025 results date notice (9 October 2025).</t>
  </si>
  <si>
    <t xml:space="preserve">AEP exercise of most of its 900 MW option, about US$2.65bn, as reported on 8 January 2026.</t>
  </si>
  <si>
    <t xml:space="preserve">Yahoo Finance chart API, retrieved 6 October 2026: month-end and daily closes, 52-week range.</t>
  </si>
  <si>
    <t xml:space="preserve">stockanalysis.com, retrieved 6 October 2026: 2026 consensus EPS and revenue, average target, forward P/E for Bloom and peers. Nasdaq.com (Zacks): 2027 and 2028 consensus EPS, Q3 2026 consensus.</t>
  </si>
  <si>
    <t xml:space="preserve">The Physical Layer, 'Bloom Energy is not selling electricity. It is selling time.', 24 September 2026: https://thephysicallayer.fyi/journal/the-product-is-time/</t>
  </si>
  <si>
    <t xml:space="preserve">Estimates for 2026 to 2028 are the author's own. Personal research, not investment advice. I hold no position in Bloom Energy.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</si>
</sst>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&quot;US$&quot;#,##0.00"/>
    <numFmt numFmtId="166" formatCode="0.0%"/>
    <numFmt numFmtId="167" formatCode="#,##0.000"/>
    <numFmt numFmtId="168" formatCode="0\x"/>
    <numFmt numFmtId="169" formatCode="0.0000"/>
    <numFmt numFmtId="170" formatCode="0"/>
    <numFmt numFmtId="171" formatCode="0.000"/>
    <numFmt numFmtId="172" formatCode="0.00\x"/>
    <numFmt numFmtId="173" formatCode="0%"/>
    <numFmt numFmtId="174" formatCode="#,##0.00"/>
    <numFmt numFmtId="175" formatCode="0.0\x"/>
    <numFmt numFmtId="176" formatCode="#,##0.0"/>
    <numFmt numFmtId="177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4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Valuation!$B$12</f>
        <v>NO CALL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">
        <v>8</v>
      </c>
      <c r="C6" s="7" t="s">
        <v>9</v>
      </c>
    </row>
    <row r="7" customFormat="false" ht="15" hidden="false" customHeight="false" outlineLevel="0" collapsed="false">
      <c r="A7" s="5" t="s">
        <v>10</v>
      </c>
      <c r="B7" s="9" t="n">
        <f aca="false">Assumptions!$B$7</f>
        <v>286.65</v>
      </c>
      <c r="C7" s="7" t="s">
        <v>11</v>
      </c>
    </row>
    <row r="8" customFormat="false" ht="15" hidden="false" customHeight="false" outlineLevel="0" collapsed="false">
      <c r="A8" s="5" t="s">
        <v>12</v>
      </c>
      <c r="B8" s="9" t="n">
        <f aca="false">Valuation!$B$7</f>
        <v>241.19696789804</v>
      </c>
      <c r="C8" s="7" t="s">
        <v>13</v>
      </c>
    </row>
    <row r="9" customFormat="false" ht="15" hidden="false" customHeight="false" outlineLevel="0" collapsed="false">
      <c r="A9" s="5" t="s">
        <v>14</v>
      </c>
      <c r="B9" s="10" t="n">
        <f aca="false">Valuation!$B$9</f>
        <v>-0.158566307699144</v>
      </c>
      <c r="C9" s="7"/>
    </row>
    <row r="10" customFormat="false" ht="15" hidden="false" customHeight="false" outlineLevel="0" collapsed="false">
      <c r="A10" s="5" t="s">
        <v>15</v>
      </c>
      <c r="B10" s="9" t="n">
        <f aca="false">Valuation!$B$10</f>
        <v>239.984234062254</v>
      </c>
      <c r="C10" s="7" t="s">
        <v>16</v>
      </c>
    </row>
    <row r="11" customFormat="false" ht="15" hidden="false" customHeight="false" outlineLevel="0" collapsed="false">
      <c r="A11" s="5" t="s">
        <v>17</v>
      </c>
      <c r="B11" s="6" t="str">
        <f aca="false">TEXT(Financials!D19,"0.00")&amp;" / "&amp;TEXT(Financials!E19,"0.00")&amp;" / "&amp;TEXT(Financials!F19,"0.00")</f>
        <v>2.78 / 4.43 / 6.03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s">
        <v>20</v>
      </c>
      <c r="C12" s="7"/>
    </row>
    <row r="13" customFormat="false" ht="23.85" hidden="false" customHeight="false" outlineLevel="0" collapsed="false">
      <c r="A13" s="5" t="s">
        <v>21</v>
      </c>
      <c r="B13" s="8" t="s">
        <v>22</v>
      </c>
      <c r="C13" s="7" t="s">
        <v>23</v>
      </c>
    </row>
    <row r="14" customFormat="false" ht="23.85" hidden="false" customHeight="false" outlineLevel="0" collapsed="false">
      <c r="A14" s="5" t="s">
        <v>24</v>
      </c>
      <c r="B14" s="8" t="s">
        <v>22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6" customFormat="false" ht="15" hidden="false" customHeight="false" outlineLevel="0" collapsed="false">
      <c r="A26" s="0" t="s">
        <v>43</v>
      </c>
      <c r="B26" s="0" t="s">
        <v>44</v>
      </c>
    </row>
    <row r="27" customFormat="false" ht="15" hidden="false" customHeight="false" outlineLevel="0" collapsed="false">
      <c r="A27" s="0" t="s">
        <v>45</v>
      </c>
      <c r="B27" s="0" t="s">
        <v>46</v>
      </c>
    </row>
    <row r="29" customFormat="false" ht="15" hidden="false" customHeight="false" outlineLevel="0" collapsed="false">
      <c r="A29" s="12" t="s">
        <v>47</v>
      </c>
    </row>
    <row r="30" customFormat="false" ht="15" hidden="false" customHeight="false" outlineLevel="0" collapsed="false">
      <c r="A30" s="12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49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50</v>
      </c>
    </row>
    <row r="5" customFormat="false" ht="15" hidden="false" customHeight="false" outlineLevel="0" collapsed="false">
      <c r="A5" s="3" t="s">
        <v>51</v>
      </c>
      <c r="B5" s="4" t="s">
        <v>3</v>
      </c>
      <c r="C5" s="4" t="s">
        <v>52</v>
      </c>
      <c r="D5" s="4" t="s">
        <v>53</v>
      </c>
    </row>
    <row r="6" customFormat="false" ht="15" hidden="false" customHeight="false" outlineLevel="0" collapsed="false">
      <c r="A6" s="11" t="s">
        <v>54</v>
      </c>
    </row>
    <row r="7" customFormat="false" ht="15" hidden="false" customHeight="false" outlineLevel="0" collapsed="false">
      <c r="A7" s="0" t="s">
        <v>55</v>
      </c>
      <c r="B7" s="13" t="n">
        <v>286.65</v>
      </c>
      <c r="C7" s="0" t="s">
        <v>56</v>
      </c>
      <c r="D7" s="7" t="s">
        <v>57</v>
      </c>
    </row>
    <row r="8" customFormat="false" ht="15" hidden="false" customHeight="false" outlineLevel="0" collapsed="false">
      <c r="A8" s="0" t="s">
        <v>58</v>
      </c>
      <c r="B8" s="13" t="n">
        <v>351.28</v>
      </c>
      <c r="C8" s="0" t="s">
        <v>56</v>
      </c>
      <c r="D8" s="7" t="s">
        <v>59</v>
      </c>
    </row>
    <row r="9" customFormat="false" ht="15" hidden="false" customHeight="false" outlineLevel="0" collapsed="false">
      <c r="A9" s="0" t="s">
        <v>60</v>
      </c>
      <c r="B9" s="13" t="n">
        <v>345.85</v>
      </c>
      <c r="C9" s="0" t="s">
        <v>56</v>
      </c>
      <c r="D9" s="7" t="s">
        <v>59</v>
      </c>
    </row>
    <row r="10" customFormat="false" ht="15" hidden="false" customHeight="false" outlineLevel="0" collapsed="false">
      <c r="A10" s="0" t="s">
        <v>61</v>
      </c>
      <c r="B10" s="13" t="n">
        <v>86.89</v>
      </c>
      <c r="C10" s="0" t="s">
        <v>56</v>
      </c>
      <c r="D10" s="7" t="s">
        <v>59</v>
      </c>
    </row>
    <row r="11" customFormat="false" ht="15" hidden="false" customHeight="false" outlineLevel="0" collapsed="false">
      <c r="A11" s="0" t="s">
        <v>62</v>
      </c>
      <c r="B11" s="13" t="n">
        <v>0.294527</v>
      </c>
      <c r="C11" s="0" t="s">
        <v>63</v>
      </c>
      <c r="D11" s="7" t="s">
        <v>64</v>
      </c>
    </row>
    <row r="12" customFormat="false" ht="15" hidden="false" customHeight="false" outlineLevel="0" collapsed="false">
      <c r="A12" s="0" t="s">
        <v>65</v>
      </c>
      <c r="B12" s="13" t="n">
        <v>2.667</v>
      </c>
      <c r="C12" s="0" t="s">
        <v>66</v>
      </c>
      <c r="D12" s="7" t="s">
        <v>67</v>
      </c>
    </row>
    <row r="13" customFormat="false" ht="15" hidden="false" customHeight="false" outlineLevel="0" collapsed="false">
      <c r="A13" s="0" t="s">
        <v>68</v>
      </c>
      <c r="B13" s="13" t="n">
        <v>2.53</v>
      </c>
      <c r="C13" s="0" t="s">
        <v>66</v>
      </c>
      <c r="D13" s="7" t="s">
        <v>69</v>
      </c>
    </row>
    <row r="14" customFormat="false" ht="15" hidden="false" customHeight="false" outlineLevel="0" collapsed="false">
      <c r="A14" s="0" t="s">
        <v>70</v>
      </c>
      <c r="B14" s="13" t="n">
        <v>0.206</v>
      </c>
      <c r="C14" s="0" t="s">
        <v>66</v>
      </c>
      <c r="D14" s="7" t="s">
        <v>71</v>
      </c>
    </row>
    <row r="15" customFormat="false" ht="15" hidden="false" customHeight="false" outlineLevel="0" collapsed="false">
      <c r="A15" s="0" t="s">
        <v>72</v>
      </c>
      <c r="B15" s="13" t="n">
        <v>2.71</v>
      </c>
      <c r="C15" s="0" t="s">
        <v>56</v>
      </c>
      <c r="D15" s="7" t="s">
        <v>73</v>
      </c>
    </row>
    <row r="16" customFormat="false" ht="15" hidden="false" customHeight="false" outlineLevel="0" collapsed="false">
      <c r="A16" s="0" t="s">
        <v>74</v>
      </c>
      <c r="B16" s="13" t="n">
        <v>4.33</v>
      </c>
      <c r="C16" s="0" t="s">
        <v>56</v>
      </c>
      <c r="D16" s="7" t="s">
        <v>75</v>
      </c>
    </row>
    <row r="17" customFormat="false" ht="15" hidden="false" customHeight="false" outlineLevel="0" collapsed="false">
      <c r="A17" s="0" t="s">
        <v>76</v>
      </c>
      <c r="B17" s="13" t="n">
        <v>7</v>
      </c>
      <c r="C17" s="0" t="s">
        <v>56</v>
      </c>
      <c r="D17" s="7" t="s">
        <v>77</v>
      </c>
    </row>
    <row r="18" customFormat="false" ht="15" hidden="false" customHeight="false" outlineLevel="0" collapsed="false">
      <c r="A18" s="0" t="s">
        <v>78</v>
      </c>
      <c r="B18" s="13" t="n">
        <v>0.57</v>
      </c>
      <c r="C18" s="0" t="s">
        <v>56</v>
      </c>
      <c r="D18" s="7" t="s">
        <v>79</v>
      </c>
    </row>
    <row r="19" customFormat="false" ht="15" hidden="false" customHeight="false" outlineLevel="0" collapsed="false">
      <c r="A19" s="0" t="s">
        <v>80</v>
      </c>
      <c r="B19" s="14" t="n">
        <v>83.47</v>
      </c>
      <c r="C19" s="0" t="s">
        <v>81</v>
      </c>
      <c r="D19" s="7" t="s">
        <v>82</v>
      </c>
    </row>
    <row r="20" customFormat="false" ht="15" hidden="false" customHeight="false" outlineLevel="0" collapsed="false">
      <c r="A20" s="0" t="s">
        <v>83</v>
      </c>
      <c r="B20" s="13" t="n">
        <v>282.82</v>
      </c>
      <c r="C20" s="0" t="s">
        <v>56</v>
      </c>
      <c r="D20" s="7" t="s">
        <v>84</v>
      </c>
    </row>
    <row r="21" customFormat="false" ht="15" hidden="false" customHeight="false" outlineLevel="0" collapsed="false">
      <c r="A21" s="11" t="s">
        <v>85</v>
      </c>
    </row>
    <row r="22" customFormat="false" ht="15" hidden="false" customHeight="false" outlineLevel="0" collapsed="false">
      <c r="A22" s="0" t="s">
        <v>86</v>
      </c>
      <c r="B22" s="13" t="n">
        <v>1.8164</v>
      </c>
      <c r="C22" s="0" t="s">
        <v>66</v>
      </c>
      <c r="D22" s="7" t="s">
        <v>87</v>
      </c>
    </row>
    <row r="23" customFormat="false" ht="15" hidden="false" customHeight="false" outlineLevel="0" collapsed="false">
      <c r="A23" s="0" t="s">
        <v>88</v>
      </c>
      <c r="B23" s="13" t="n">
        <v>0.6017</v>
      </c>
      <c r="C23" s="0" t="s">
        <v>66</v>
      </c>
      <c r="D23" s="7" t="s">
        <v>89</v>
      </c>
    </row>
    <row r="24" customFormat="false" ht="15" hidden="false" customHeight="false" outlineLevel="0" collapsed="false">
      <c r="A24" s="0" t="s">
        <v>90</v>
      </c>
      <c r="B24" s="13" t="n">
        <v>0.2323</v>
      </c>
      <c r="C24" s="0" t="s">
        <v>66</v>
      </c>
      <c r="D24" s="7" t="s">
        <v>91</v>
      </c>
    </row>
    <row r="25" customFormat="false" ht="15" hidden="false" customHeight="false" outlineLevel="0" collapsed="false">
      <c r="A25" s="0" t="s">
        <v>92</v>
      </c>
      <c r="B25" s="13" t="n">
        <v>0.3694</v>
      </c>
      <c r="C25" s="0" t="s">
        <v>66</v>
      </c>
      <c r="D25" s="7" t="s">
        <v>93</v>
      </c>
    </row>
    <row r="26" customFormat="false" ht="15" hidden="false" customHeight="false" outlineLevel="0" collapsed="false">
      <c r="A26" s="0" t="s">
        <v>94</v>
      </c>
      <c r="B26" s="13" t="n">
        <v>0.3863</v>
      </c>
      <c r="C26" s="0" t="s">
        <v>66</v>
      </c>
      <c r="D26" s="7" t="s">
        <v>95</v>
      </c>
    </row>
    <row r="27" customFormat="false" ht="15" hidden="false" customHeight="false" outlineLevel="0" collapsed="false">
      <c r="A27" s="0" t="s">
        <v>96</v>
      </c>
      <c r="B27" s="13" t="n">
        <v>1.22</v>
      </c>
      <c r="C27" s="0" t="s">
        <v>56</v>
      </c>
      <c r="D27" s="7" t="s">
        <v>97</v>
      </c>
    </row>
    <row r="28" customFormat="false" ht="15" hidden="false" customHeight="false" outlineLevel="0" collapsed="false">
      <c r="A28" s="0" t="s">
        <v>98</v>
      </c>
      <c r="B28" s="13" t="n">
        <v>3.9</v>
      </c>
      <c r="C28" s="0" t="s">
        <v>66</v>
      </c>
      <c r="D28" s="7" t="s">
        <v>99</v>
      </c>
    </row>
    <row r="29" customFormat="false" ht="15" hidden="false" customHeight="false" outlineLevel="0" collapsed="false">
      <c r="A29" s="0" t="s">
        <v>100</v>
      </c>
      <c r="B29" s="13" t="n">
        <v>4.2</v>
      </c>
      <c r="C29" s="0" t="s">
        <v>66</v>
      </c>
      <c r="D29" s="7" t="s">
        <v>101</v>
      </c>
    </row>
    <row r="30" customFormat="false" ht="15" hidden="false" customHeight="false" outlineLevel="0" collapsed="false">
      <c r="A30" s="0" t="s">
        <v>102</v>
      </c>
      <c r="B30" s="13" t="n">
        <v>2.55</v>
      </c>
      <c r="C30" s="0" t="s">
        <v>56</v>
      </c>
      <c r="D30" s="7" t="s">
        <v>101</v>
      </c>
    </row>
    <row r="31" customFormat="false" ht="15" hidden="false" customHeight="false" outlineLevel="0" collapsed="false">
      <c r="A31" s="0" t="s">
        <v>103</v>
      </c>
      <c r="B31" s="13" t="n">
        <v>2.85</v>
      </c>
      <c r="C31" s="0" t="s">
        <v>56</v>
      </c>
      <c r="D31" s="7" t="s">
        <v>101</v>
      </c>
    </row>
    <row r="32" customFormat="false" ht="15" hidden="false" customHeight="false" outlineLevel="0" collapsed="false">
      <c r="A32" s="0" t="s">
        <v>104</v>
      </c>
      <c r="B32" s="13" t="n">
        <v>0.8</v>
      </c>
      <c r="C32" s="0" t="s">
        <v>66</v>
      </c>
      <c r="D32" s="7" t="s">
        <v>101</v>
      </c>
    </row>
    <row r="33" customFormat="false" ht="15" hidden="false" customHeight="false" outlineLevel="0" collapsed="false">
      <c r="A33" s="0" t="s">
        <v>105</v>
      </c>
      <c r="B33" s="13" t="n">
        <v>0.9</v>
      </c>
      <c r="C33" s="0" t="s">
        <v>66</v>
      </c>
      <c r="D33" s="7" t="s">
        <v>101</v>
      </c>
    </row>
    <row r="34" customFormat="false" ht="15" hidden="false" customHeight="false" outlineLevel="0" collapsed="false">
      <c r="A34" s="0" t="s">
        <v>106</v>
      </c>
      <c r="B34" s="13" t="n">
        <v>0.0564</v>
      </c>
      <c r="C34" s="0" t="s">
        <v>66</v>
      </c>
      <c r="D34" s="7" t="s">
        <v>107</v>
      </c>
    </row>
    <row r="35" customFormat="false" ht="15" hidden="false" customHeight="false" outlineLevel="0" collapsed="false">
      <c r="A35" s="0" t="s">
        <v>108</v>
      </c>
      <c r="B35" s="13" t="n">
        <v>0.2396</v>
      </c>
      <c r="C35" s="0" t="s">
        <v>66</v>
      </c>
      <c r="D35" s="7" t="s">
        <v>109</v>
      </c>
    </row>
    <row r="36" customFormat="false" ht="15" hidden="false" customHeight="false" outlineLevel="0" collapsed="false">
      <c r="A36" s="0" t="s">
        <v>110</v>
      </c>
      <c r="B36" s="13" t="n">
        <v>2.65</v>
      </c>
      <c r="C36" s="0" t="s">
        <v>66</v>
      </c>
      <c r="D36" s="7" t="s">
        <v>111</v>
      </c>
    </row>
    <row r="37" customFormat="false" ht="15" hidden="false" customHeight="false" outlineLevel="0" collapsed="false">
      <c r="A37" s="0" t="s">
        <v>112</v>
      </c>
      <c r="B37" s="13" t="n">
        <v>0.9</v>
      </c>
      <c r="C37" s="0" t="s">
        <v>113</v>
      </c>
      <c r="D37" s="7" t="s">
        <v>114</v>
      </c>
    </row>
    <row r="38" customFormat="false" ht="15" hidden="false" customHeight="false" outlineLevel="0" collapsed="false">
      <c r="A38" s="0" t="s">
        <v>115</v>
      </c>
      <c r="B38" s="13" t="n">
        <v>2</v>
      </c>
      <c r="C38" s="0" t="s">
        <v>113</v>
      </c>
      <c r="D38" s="7" t="s">
        <v>116</v>
      </c>
    </row>
    <row r="39" customFormat="false" ht="15" hidden="false" customHeight="false" outlineLevel="0" collapsed="false">
      <c r="A39" s="11" t="s">
        <v>117</v>
      </c>
    </row>
    <row r="40" customFormat="false" ht="15" hidden="false" customHeight="false" outlineLevel="0" collapsed="false">
      <c r="A40" s="0" t="s">
        <v>118</v>
      </c>
      <c r="B40" s="15" t="n">
        <v>1.05</v>
      </c>
      <c r="C40" s="0" t="s">
        <v>66</v>
      </c>
      <c r="D40" s="7" t="s">
        <v>119</v>
      </c>
    </row>
    <row r="41" customFormat="false" ht="15" hidden="false" customHeight="false" outlineLevel="0" collapsed="false">
      <c r="A41" s="0" t="s">
        <v>120</v>
      </c>
      <c r="B41" s="15" t="n">
        <v>1.2</v>
      </c>
      <c r="C41" s="0" t="s">
        <v>66</v>
      </c>
      <c r="D41" s="7" t="s">
        <v>121</v>
      </c>
    </row>
    <row r="42" customFormat="false" ht="15" hidden="false" customHeight="false" outlineLevel="0" collapsed="false">
      <c r="A42" s="0" t="s">
        <v>122</v>
      </c>
      <c r="B42" s="16" t="n">
        <v>0.345</v>
      </c>
      <c r="C42" s="0" t="s">
        <v>123</v>
      </c>
      <c r="D42" s="7" t="s">
        <v>124</v>
      </c>
    </row>
    <row r="43" customFormat="false" ht="15" hidden="false" customHeight="false" outlineLevel="0" collapsed="false">
      <c r="A43" s="0" t="s">
        <v>125</v>
      </c>
      <c r="B43" s="16" t="n">
        <v>0.345</v>
      </c>
      <c r="C43" s="0" t="s">
        <v>123</v>
      </c>
      <c r="D43" s="7" t="s">
        <v>121</v>
      </c>
    </row>
    <row r="44" customFormat="false" ht="15" hidden="false" customHeight="false" outlineLevel="0" collapsed="false">
      <c r="A44" s="0" t="s">
        <v>126</v>
      </c>
      <c r="B44" s="15" t="n">
        <v>0.135</v>
      </c>
      <c r="C44" s="0" t="s">
        <v>66</v>
      </c>
      <c r="D44" s="7" t="s">
        <v>127</v>
      </c>
    </row>
    <row r="45" customFormat="false" ht="15" hidden="false" customHeight="false" outlineLevel="0" collapsed="false">
      <c r="A45" s="0" t="s">
        <v>128</v>
      </c>
      <c r="B45" s="15" t="n">
        <v>0.145</v>
      </c>
      <c r="C45" s="0" t="s">
        <v>66</v>
      </c>
      <c r="D45" s="7" t="s">
        <v>121</v>
      </c>
    </row>
    <row r="46" customFormat="false" ht="15" hidden="false" customHeight="false" outlineLevel="0" collapsed="false">
      <c r="A46" s="0" t="s">
        <v>129</v>
      </c>
      <c r="B46" s="15" t="n">
        <v>0.008</v>
      </c>
      <c r="C46" s="0" t="s">
        <v>66</v>
      </c>
      <c r="D46" s="7" t="s">
        <v>130</v>
      </c>
    </row>
    <row r="47" customFormat="false" ht="15" hidden="false" customHeight="false" outlineLevel="0" collapsed="false">
      <c r="A47" s="0" t="s">
        <v>131</v>
      </c>
      <c r="B47" s="15" t="n">
        <v>0.035</v>
      </c>
      <c r="C47" s="0" t="s">
        <v>66</v>
      </c>
      <c r="D47" s="7" t="s">
        <v>121</v>
      </c>
    </row>
    <row r="48" customFormat="false" ht="15" hidden="false" customHeight="false" outlineLevel="0" collapsed="false">
      <c r="A48" s="0" t="s">
        <v>132</v>
      </c>
      <c r="B48" s="16" t="n">
        <v>0.01</v>
      </c>
      <c r="C48" s="0" t="s">
        <v>123</v>
      </c>
      <c r="D48" s="7" t="s">
        <v>133</v>
      </c>
    </row>
    <row r="49" customFormat="false" ht="15" hidden="false" customHeight="false" outlineLevel="0" collapsed="false">
      <c r="A49" s="0" t="s">
        <v>134</v>
      </c>
      <c r="B49" s="16" t="n">
        <v>0.1</v>
      </c>
      <c r="C49" s="0" t="s">
        <v>123</v>
      </c>
      <c r="D49" s="7" t="s">
        <v>135</v>
      </c>
    </row>
    <row r="50" customFormat="false" ht="15" hidden="false" customHeight="false" outlineLevel="0" collapsed="false">
      <c r="A50" s="0" t="s">
        <v>136</v>
      </c>
      <c r="B50" s="16" t="n">
        <v>0.15</v>
      </c>
      <c r="C50" s="0" t="s">
        <v>123</v>
      </c>
      <c r="D50" s="7" t="s">
        <v>121</v>
      </c>
    </row>
    <row r="51" customFormat="false" ht="15" hidden="false" customHeight="false" outlineLevel="0" collapsed="false">
      <c r="A51" s="0" t="s">
        <v>137</v>
      </c>
      <c r="B51" s="16" t="n">
        <v>0.015</v>
      </c>
      <c r="C51" s="0" t="s">
        <v>123</v>
      </c>
      <c r="D51" s="7" t="s">
        <v>121</v>
      </c>
    </row>
    <row r="52" customFormat="false" ht="15" hidden="false" customHeight="false" outlineLevel="0" collapsed="false">
      <c r="A52" s="0" t="s">
        <v>138</v>
      </c>
      <c r="B52" s="16" t="n">
        <v>0.875</v>
      </c>
      <c r="C52" s="0" t="s">
        <v>123</v>
      </c>
      <c r="D52" s="7" t="s">
        <v>139</v>
      </c>
    </row>
    <row r="53" customFormat="false" ht="15" hidden="false" customHeight="false" outlineLevel="0" collapsed="false">
      <c r="A53" s="0" t="s">
        <v>140</v>
      </c>
      <c r="B53" s="17" t="n">
        <v>40</v>
      </c>
      <c r="C53" s="0" t="s">
        <v>81</v>
      </c>
      <c r="D53" s="7" t="s">
        <v>141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143</v>
      </c>
      <c r="B4" s="4" t="s">
        <v>3</v>
      </c>
      <c r="C4" s="4" t="s">
        <v>144</v>
      </c>
    </row>
    <row r="5" customFormat="false" ht="15" hidden="false" customHeight="false" outlineLevel="0" collapsed="false">
      <c r="A5" s="0" t="s">
        <v>145</v>
      </c>
      <c r="B5" s="18" t="n">
        <f aca="false">Assumptions!$B$11</f>
        <v>0.294527</v>
      </c>
      <c r="C5" s="7" t="s">
        <v>146</v>
      </c>
    </row>
    <row r="6" customFormat="false" ht="15" hidden="false" customHeight="false" outlineLevel="0" collapsed="false">
      <c r="A6" s="0" t="s">
        <v>147</v>
      </c>
      <c r="B6" s="13" t="n">
        <v>2.5</v>
      </c>
      <c r="C6" s="7" t="s">
        <v>148</v>
      </c>
    </row>
    <row r="7" customFormat="false" ht="15" hidden="false" customHeight="false" outlineLevel="0" collapsed="false">
      <c r="A7" s="0" t="s">
        <v>149</v>
      </c>
      <c r="B7" s="19" t="n">
        <v>5.129</v>
      </c>
      <c r="C7" s="7" t="s">
        <v>150</v>
      </c>
    </row>
    <row r="8" customFormat="false" ht="15" hidden="false" customHeight="false" outlineLevel="0" collapsed="false">
      <c r="A8" s="0" t="s">
        <v>151</v>
      </c>
      <c r="B8" s="18" t="n">
        <f aca="false">B6*B7/1000</f>
        <v>0.0128225</v>
      </c>
      <c r="C8" s="7" t="s">
        <v>152</v>
      </c>
    </row>
    <row r="9" customFormat="false" ht="15" hidden="false" customHeight="false" outlineLevel="0" collapsed="false">
      <c r="A9" s="0" t="s">
        <v>153</v>
      </c>
      <c r="B9" s="13" t="n">
        <v>0.026971</v>
      </c>
      <c r="C9" s="7" t="s">
        <v>154</v>
      </c>
    </row>
    <row r="10" customFormat="false" ht="15" hidden="false" customHeight="false" outlineLevel="0" collapsed="false">
      <c r="A10" s="0" t="s">
        <v>149</v>
      </c>
      <c r="B10" s="19" t="n">
        <v>47.9795</v>
      </c>
      <c r="C10" s="7" t="s">
        <v>155</v>
      </c>
    </row>
    <row r="11" customFormat="false" ht="15" hidden="false" customHeight="false" outlineLevel="0" collapsed="false">
      <c r="A11" s="0" t="s">
        <v>151</v>
      </c>
      <c r="B11" s="18" t="n">
        <f aca="false">B9*B10/1000</f>
        <v>0.0012940550945</v>
      </c>
      <c r="C11" s="7"/>
    </row>
    <row r="12" customFormat="false" ht="15" hidden="false" customHeight="false" outlineLevel="0" collapsed="false">
      <c r="A12" s="0" t="s">
        <v>156</v>
      </c>
      <c r="B12" s="13" t="n">
        <v>0.016022</v>
      </c>
      <c r="C12" s="7" t="s">
        <v>157</v>
      </c>
    </row>
    <row r="13" customFormat="false" ht="15" hidden="false" customHeight="false" outlineLevel="0" collapsed="false">
      <c r="A13" s="0" t="s">
        <v>158</v>
      </c>
      <c r="B13" s="18" t="n">
        <f aca="false">B5+B8+B11+B12</f>
        <v>0.3246655550945</v>
      </c>
      <c r="C13" s="7" t="s">
        <v>159</v>
      </c>
    </row>
    <row r="14" customFormat="false" ht="15" hidden="false" customHeight="false" outlineLevel="0" collapsed="false">
      <c r="A14" s="0" t="s">
        <v>160</v>
      </c>
      <c r="B14" s="20" t="n">
        <f aca="false">(B8+B11)/B5</f>
        <v>0.0479295789333406</v>
      </c>
      <c r="C14" s="7"/>
    </row>
    <row r="16" customFormat="false" ht="15" hidden="false" customHeight="false" outlineLevel="0" collapsed="false">
      <c r="A16" s="0" t="s">
        <v>161</v>
      </c>
      <c r="B16" s="21" t="n">
        <f aca="false">1.3*194.97</f>
        <v>253.461</v>
      </c>
      <c r="C16" s="7" t="s">
        <v>162</v>
      </c>
    </row>
    <row r="17" customFormat="false" ht="15" hidden="false" customHeight="false" outlineLevel="0" collapsed="false">
      <c r="A17" s="0" t="s">
        <v>163</v>
      </c>
      <c r="B17" s="22" t="n">
        <v>17</v>
      </c>
      <c r="C17" s="7" t="s">
        <v>164</v>
      </c>
    </row>
    <row r="18" customFormat="false" ht="15" hidden="false" customHeight="false" outlineLevel="0" collapsed="false">
      <c r="A18" s="0" t="s">
        <v>165</v>
      </c>
      <c r="B18" s="18" t="n">
        <f aca="false">Assumptions!$B$34</f>
        <v>0.0564</v>
      </c>
      <c r="C18" s="7" t="s">
        <v>166</v>
      </c>
    </row>
    <row r="19" customFormat="false" ht="15" hidden="false" customHeight="false" outlineLevel="0" collapsed="false">
      <c r="A19" s="0" t="s">
        <v>167</v>
      </c>
      <c r="B19" s="20" t="n">
        <f aca="false">B18/Assumptions!$B$35</f>
        <v>0.235392320534224</v>
      </c>
      <c r="C19" s="7"/>
    </row>
    <row r="20" customFormat="false" ht="15" hidden="false" customHeight="false" outlineLevel="0" collapsed="false">
      <c r="A20" s="0" t="s">
        <v>168</v>
      </c>
      <c r="B20" s="23" t="n">
        <v>2.154231</v>
      </c>
      <c r="C20" s="7" t="s">
        <v>169</v>
      </c>
    </row>
    <row r="21" customFormat="false" ht="15" hidden="false" customHeight="false" outlineLevel="0" collapsed="false">
      <c r="A21" s="0" t="s">
        <v>170</v>
      </c>
      <c r="B21" s="13" t="n">
        <v>0.3244</v>
      </c>
      <c r="C21" s="7" t="s">
        <v>171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13" min="2" style="0" width="10"/>
  </cols>
  <sheetData>
    <row r="1" customFormat="false" ht="15" hidden="false" customHeight="false" outlineLevel="0" collapsed="false">
      <c r="A1" s="1" t="s">
        <v>172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173</v>
      </c>
      <c r="B4" s="4" t="s">
        <v>174</v>
      </c>
      <c r="C4" s="4" t="s">
        <v>175</v>
      </c>
      <c r="D4" s="4" t="s">
        <v>176</v>
      </c>
      <c r="E4" s="4" t="s">
        <v>177</v>
      </c>
      <c r="F4" s="4" t="s">
        <v>178</v>
      </c>
      <c r="G4" s="4" t="s">
        <v>179</v>
      </c>
      <c r="H4" s="4" t="s">
        <v>180</v>
      </c>
      <c r="I4" s="4" t="s">
        <v>181</v>
      </c>
      <c r="J4" s="4" t="s">
        <v>182</v>
      </c>
      <c r="K4" s="4" t="s">
        <v>183</v>
      </c>
      <c r="L4" s="4" t="s">
        <v>184</v>
      </c>
      <c r="M4" s="4" t="s">
        <v>185</v>
      </c>
    </row>
    <row r="5" customFormat="false" ht="15" hidden="false" customHeight="false" outlineLevel="0" collapsed="false">
      <c r="A5" s="5" t="s">
        <v>186</v>
      </c>
      <c r="B5" s="24" t="n">
        <v>0.2353</v>
      </c>
      <c r="C5" s="24" t="n">
        <v>0.3358</v>
      </c>
      <c r="D5" s="24" t="n">
        <v>0.3304</v>
      </c>
      <c r="E5" s="24" t="n">
        <v>0.5724</v>
      </c>
      <c r="F5" s="24" t="n">
        <v>0.326</v>
      </c>
      <c r="G5" s="24" t="n">
        <v>0.4012</v>
      </c>
      <c r="H5" s="24" t="n">
        <v>0.519</v>
      </c>
      <c r="I5" s="24" t="n">
        <v>0.7777</v>
      </c>
      <c r="J5" s="24" t="n">
        <v>0.7511</v>
      </c>
      <c r="K5" s="24" t="n">
        <v>1.0654</v>
      </c>
      <c r="L5" s="25" t="n">
        <f aca="false">Assumptions!$B$40</f>
        <v>1.05</v>
      </c>
      <c r="M5" s="25" t="n">
        <f aca="false">Assumptions!$B$41</f>
        <v>1.2</v>
      </c>
    </row>
    <row r="6" customFormat="false" ht="15" hidden="false" customHeight="false" outlineLevel="0" collapsed="false">
      <c r="A6" s="26" t="s">
        <v>187</v>
      </c>
      <c r="B6" s="24" t="n">
        <v>0.1534</v>
      </c>
      <c r="C6" s="24" t="n">
        <v>0.2263</v>
      </c>
      <c r="D6" s="24" t="n">
        <v>0.2338</v>
      </c>
      <c r="E6" s="24" t="n">
        <v>0.4717</v>
      </c>
      <c r="F6" s="24" t="n">
        <v>0.2119</v>
      </c>
      <c r="G6" s="24" t="n">
        <v>0.2966</v>
      </c>
      <c r="H6" s="24" t="n">
        <v>0.3843</v>
      </c>
      <c r="I6" s="24" t="n">
        <v>0.6385</v>
      </c>
      <c r="J6" s="24" t="n">
        <v>0.6533</v>
      </c>
      <c r="K6" s="24" t="n">
        <v>0.9354</v>
      </c>
      <c r="L6" s="25"/>
      <c r="M6" s="25"/>
    </row>
    <row r="7" customFormat="false" ht="15" hidden="false" customHeight="false" outlineLevel="0" collapsed="false">
      <c r="A7" s="26" t="s">
        <v>188</v>
      </c>
      <c r="B7" s="24" t="n">
        <v>0.1158</v>
      </c>
      <c r="C7" s="24" t="n">
        <v>0.1613</v>
      </c>
      <c r="D7" s="24" t="n">
        <v>0.1551</v>
      </c>
      <c r="E7" s="24" t="n">
        <v>0.2536</v>
      </c>
      <c r="F7" s="24" t="n">
        <v>0.1396</v>
      </c>
      <c r="G7" s="24" t="n">
        <v>0.1987</v>
      </c>
      <c r="H7" s="24" t="n">
        <v>0.2498</v>
      </c>
      <c r="I7" s="24" t="n">
        <v>0.4047</v>
      </c>
      <c r="J7" s="24" t="n">
        <v>0.4292</v>
      </c>
      <c r="K7" s="24" t="n">
        <v>0.594</v>
      </c>
      <c r="L7" s="25"/>
      <c r="M7" s="25"/>
    </row>
    <row r="8" customFormat="false" ht="15" hidden="false" customHeight="false" outlineLevel="0" collapsed="false">
      <c r="A8" s="5" t="s">
        <v>189</v>
      </c>
      <c r="B8" s="27" t="n">
        <f aca="false">(B6-B7)/B6</f>
        <v>0.245110821382008</v>
      </c>
      <c r="C8" s="27" t="n">
        <f aca="false">(C6-C7)/C6</f>
        <v>0.287229341581971</v>
      </c>
      <c r="D8" s="27" t="n">
        <f aca="false">(D6-D7)/D6</f>
        <v>0.3366124893071</v>
      </c>
      <c r="E8" s="27" t="n">
        <f aca="false">(E6-E7)/E6</f>
        <v>0.462370150519398</v>
      </c>
      <c r="F8" s="27" t="n">
        <f aca="false">(F6-F7)/F6</f>
        <v>0.341198678621992</v>
      </c>
      <c r="G8" s="27" t="n">
        <f aca="false">(G6-G7)/G6</f>
        <v>0.330074173971679</v>
      </c>
      <c r="H8" s="27" t="n">
        <f aca="false">(H6-H7)/H6</f>
        <v>0.349986989331252</v>
      </c>
      <c r="I8" s="27" t="n">
        <f aca="false">(I6-I7)/I6</f>
        <v>0.366170712607674</v>
      </c>
      <c r="J8" s="27" t="n">
        <f aca="false">(J6-J7)/J6</f>
        <v>0.343027705495178</v>
      </c>
      <c r="K8" s="27" t="n">
        <f aca="false">(K6-K7)/K6</f>
        <v>0.364977549711354</v>
      </c>
      <c r="L8" s="27"/>
      <c r="M8" s="27"/>
    </row>
    <row r="9" customFormat="false" ht="15" hidden="false" customHeight="false" outlineLevel="0" collapsed="false">
      <c r="A9" s="26" t="s">
        <v>190</v>
      </c>
      <c r="B9" s="24" t="n">
        <v>0.0565</v>
      </c>
      <c r="C9" s="24" t="n">
        <v>0.0525</v>
      </c>
      <c r="D9" s="24" t="n">
        <v>0.0508</v>
      </c>
      <c r="E9" s="24" t="n">
        <v>0.0538</v>
      </c>
      <c r="F9" s="24" t="n">
        <v>0.0535</v>
      </c>
      <c r="G9" s="24" t="n">
        <v>0.0544</v>
      </c>
      <c r="H9" s="24" t="n">
        <v>0.0586</v>
      </c>
      <c r="I9" s="24" t="n">
        <v>0.0617</v>
      </c>
      <c r="J9" s="24" t="n">
        <v>0.0619</v>
      </c>
      <c r="K9" s="24" t="n">
        <v>0.069</v>
      </c>
      <c r="L9" s="25"/>
      <c r="M9" s="25"/>
    </row>
    <row r="10" customFormat="false" ht="15" hidden="false" customHeight="false" outlineLevel="0" collapsed="false">
      <c r="A10" s="26" t="s">
        <v>191</v>
      </c>
      <c r="B10" s="24" t="n">
        <v>0.0565</v>
      </c>
      <c r="C10" s="24" t="n">
        <v>0.0524</v>
      </c>
      <c r="D10" s="24" t="n">
        <v>0.0514</v>
      </c>
      <c r="E10" s="24" t="n">
        <v>0.0547</v>
      </c>
      <c r="F10" s="24" t="n">
        <v>0.0529</v>
      </c>
      <c r="G10" s="24" t="n">
        <v>0.0494</v>
      </c>
      <c r="H10" s="24" t="n">
        <v>0.0518</v>
      </c>
      <c r="I10" s="24" t="n">
        <v>0.0513</v>
      </c>
      <c r="J10" s="24" t="n">
        <v>0.0537</v>
      </c>
      <c r="K10" s="24" t="n">
        <v>0.0561</v>
      </c>
      <c r="L10" s="25"/>
      <c r="M10" s="25"/>
    </row>
    <row r="11" customFormat="false" ht="15" hidden="false" customHeight="false" outlineLevel="0" collapsed="false">
      <c r="A11" s="26" t="s">
        <v>192</v>
      </c>
      <c r="B11" s="27" t="n">
        <f aca="false">(B9-B10)/B9</f>
        <v>0</v>
      </c>
      <c r="C11" s="27" t="n">
        <f aca="false">(C9-C10)/C9</f>
        <v>0.00190476190476183</v>
      </c>
      <c r="D11" s="27" t="n">
        <f aca="false">(D9-D10)/D9</f>
        <v>-0.0118110236220473</v>
      </c>
      <c r="E11" s="27" t="n">
        <f aca="false">(E9-E10)/E9</f>
        <v>-0.0167286245353162</v>
      </c>
      <c r="F11" s="27" t="n">
        <f aca="false">(F9-F10)/F9</f>
        <v>0.011214953271028</v>
      </c>
      <c r="G11" s="27" t="n">
        <f aca="false">(G9-G10)/G9</f>
        <v>0.0919117647058823</v>
      </c>
      <c r="H11" s="27" t="n">
        <f aca="false">(H9-H10)/H9</f>
        <v>0.116040955631399</v>
      </c>
      <c r="I11" s="27" t="n">
        <f aca="false">(I9-I10)/I9</f>
        <v>0.168557536466775</v>
      </c>
      <c r="J11" s="27" t="n">
        <f aca="false">(J9-J10)/J9</f>
        <v>0.132471728594507</v>
      </c>
      <c r="K11" s="27" t="n">
        <f aca="false">(K9-K10)/K9</f>
        <v>0.186956521739131</v>
      </c>
      <c r="L11" s="27"/>
      <c r="M11" s="27"/>
    </row>
    <row r="12" customFormat="false" ht="15" hidden="false" customHeight="false" outlineLevel="0" collapsed="false">
      <c r="A12" s="26" t="s">
        <v>193</v>
      </c>
      <c r="B12" s="28" t="n">
        <v>0.162</v>
      </c>
      <c r="C12" s="28" t="n">
        <v>0.204</v>
      </c>
      <c r="D12" s="28" t="n">
        <v>0.238</v>
      </c>
      <c r="E12" s="28" t="n">
        <v>0.383</v>
      </c>
      <c r="F12" s="28" t="n">
        <v>0.272</v>
      </c>
      <c r="G12" s="28" t="n">
        <v>0.267</v>
      </c>
      <c r="H12" s="28" t="n">
        <v>0.292</v>
      </c>
      <c r="I12" s="28" t="n">
        <v>0.308</v>
      </c>
      <c r="J12" s="28" t="n">
        <v>0.3</v>
      </c>
      <c r="K12" s="28" t="n">
        <v>0.334</v>
      </c>
      <c r="L12" s="27"/>
      <c r="M12" s="27"/>
    </row>
    <row r="13" customFormat="false" ht="15" hidden="false" customHeight="false" outlineLevel="0" collapsed="false">
      <c r="A13" s="5" t="s">
        <v>194</v>
      </c>
      <c r="B13" s="28" t="n">
        <v>0.175</v>
      </c>
      <c r="C13" s="28" t="n">
        <v>0.218</v>
      </c>
      <c r="D13" s="28" t="n">
        <v>0.252</v>
      </c>
      <c r="E13" s="28" t="n">
        <v>0.393</v>
      </c>
      <c r="F13" s="28" t="n">
        <v>0.287</v>
      </c>
      <c r="G13" s="28" t="n">
        <v>0.282</v>
      </c>
      <c r="H13" s="28" t="n">
        <v>0.304</v>
      </c>
      <c r="I13" s="28" t="n">
        <v>0.319</v>
      </c>
      <c r="J13" s="28" t="n">
        <v>0.315</v>
      </c>
      <c r="K13" s="28" t="n">
        <v>0.343</v>
      </c>
      <c r="L13" s="27" t="n">
        <f aca="false">Assumptions!$B$42</f>
        <v>0.345</v>
      </c>
      <c r="M13" s="27" t="n">
        <f aca="false">Assumptions!$B$43</f>
        <v>0.345</v>
      </c>
    </row>
    <row r="14" customFormat="false" ht="15" hidden="false" customHeight="false" outlineLevel="0" collapsed="false">
      <c r="A14" s="26" t="s">
        <v>195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 t="n">
        <f aca="false">L5*L13-Assumptions!$B$44</f>
        <v>0.22725</v>
      </c>
      <c r="M14" s="25" t="n">
        <f aca="false">M5*M13-Assumptions!$B$45</f>
        <v>0.269</v>
      </c>
    </row>
    <row r="15" customFormat="false" ht="15" hidden="false" customHeight="false" outlineLevel="0" collapsed="false">
      <c r="A15" s="5" t="s">
        <v>196</v>
      </c>
      <c r="B15" s="29" t="n">
        <v>-0.17</v>
      </c>
      <c r="C15" s="29" t="n">
        <v>-0.06</v>
      </c>
      <c r="D15" s="29" t="n">
        <v>-0.01</v>
      </c>
      <c r="E15" s="29" t="n">
        <v>0.43</v>
      </c>
      <c r="F15" s="29" t="n">
        <v>0.03</v>
      </c>
      <c r="G15" s="29" t="n">
        <v>0.1</v>
      </c>
      <c r="H15" s="29" t="n">
        <v>0.15</v>
      </c>
      <c r="I15" s="29" t="n">
        <v>0.45</v>
      </c>
      <c r="J15" s="29" t="n">
        <v>0.44</v>
      </c>
      <c r="K15" s="29" t="n">
        <v>0.78</v>
      </c>
      <c r="L15" s="30" t="n">
        <f aca="false">(L14+Assumptions!$B$46)*(1-Assumptions!$B$48)/Dilution!$B$13</f>
        <v>0.717345885159301</v>
      </c>
      <c r="M15" s="30" t="n">
        <f aca="false">(M14+Assumptions!$B$46)*(1-Assumptions!$B$48)/Dilution!$B$13</f>
        <v>0.844653815894268</v>
      </c>
    </row>
    <row r="16" customFormat="false" ht="15" hidden="false" customHeight="false" outlineLevel="0" collapsed="false">
      <c r="A16" s="26" t="s">
        <v>197</v>
      </c>
      <c r="B16" s="24" t="n">
        <v>0.1222</v>
      </c>
      <c r="C16" s="24" t="n">
        <v>0.0868</v>
      </c>
      <c r="D16" s="24" t="n">
        <v>0.1266</v>
      </c>
      <c r="E16" s="24" t="n">
        <v>0.003</v>
      </c>
      <c r="F16" s="24" t="n">
        <v>0.0028</v>
      </c>
      <c r="G16" s="24" t="n">
        <v>0.0271</v>
      </c>
      <c r="H16" s="24" t="n">
        <v>0.288</v>
      </c>
      <c r="I16" s="24" t="n">
        <v>0.5742</v>
      </c>
      <c r="J16" s="24" t="n">
        <v>0.3733</v>
      </c>
      <c r="K16" s="24" t="n">
        <v>0.0028</v>
      </c>
      <c r="L16" s="25"/>
      <c r="M16" s="25"/>
    </row>
    <row r="17" customFormat="false" ht="15" hidden="false" customHeight="false" outlineLevel="0" collapsed="false">
      <c r="A17" s="26" t="s">
        <v>198</v>
      </c>
      <c r="B17" s="27" t="n">
        <f aca="false">B16/B5</f>
        <v>0.519337016574586</v>
      </c>
      <c r="C17" s="27" t="n">
        <f aca="false">C16/C5</f>
        <v>0.258487194758785</v>
      </c>
      <c r="D17" s="27" t="n">
        <f aca="false">D16/D5</f>
        <v>0.38317191283293</v>
      </c>
      <c r="E17" s="27" t="n">
        <f aca="false">E16/E5</f>
        <v>0.00524109014675052</v>
      </c>
      <c r="F17" s="27" t="n">
        <f aca="false">F16/F5</f>
        <v>0.00858895705521472</v>
      </c>
      <c r="G17" s="27" t="n">
        <f aca="false">G16/G5</f>
        <v>0.0675473579262213</v>
      </c>
      <c r="H17" s="27" t="n">
        <f aca="false">H16/H5</f>
        <v>0.554913294797688</v>
      </c>
      <c r="I17" s="27" t="n">
        <f aca="false">I16/I5</f>
        <v>0.738330975954738</v>
      </c>
      <c r="J17" s="27" t="n">
        <f aca="false">J16/J5</f>
        <v>0.497004393556118</v>
      </c>
      <c r="K17" s="27" t="n">
        <f aca="false">K16/K5</f>
        <v>0.0026281208935611</v>
      </c>
      <c r="L17" s="27"/>
      <c r="M17" s="27"/>
    </row>
    <row r="19" customFormat="false" ht="15" hidden="false" customHeight="false" outlineLevel="0" collapsed="false">
      <c r="A19" s="11" t="s">
        <v>199</v>
      </c>
    </row>
    <row r="20" customFormat="false" ht="15" hidden="false" customHeight="false" outlineLevel="0" collapsed="false">
      <c r="A20" s="0" t="s">
        <v>200</v>
      </c>
      <c r="B20" s="21" t="n">
        <f aca="false">SUM(H15:K15)</f>
        <v>1.82</v>
      </c>
    </row>
    <row r="21" customFormat="false" ht="15" hidden="false" customHeight="false" outlineLevel="0" collapsed="false">
      <c r="A21" s="0" t="s">
        <v>201</v>
      </c>
      <c r="B21" s="20" t="n">
        <f aca="false">(J6+K6-J7-K7)/(J6+K6)</f>
        <v>0.3559514068106</v>
      </c>
    </row>
    <row r="22" customFormat="false" ht="15" hidden="false" customHeight="false" outlineLevel="0" collapsed="false">
      <c r="A22" s="0" t="s">
        <v>202</v>
      </c>
      <c r="B22" s="31" t="n">
        <f aca="false">(J5+K5)/(B5+C5)</f>
        <v>3.18070390474523</v>
      </c>
    </row>
    <row r="23" customFormat="false" ht="15" hidden="false" customHeight="false" outlineLevel="0" collapsed="false">
      <c r="A23" s="0" t="s">
        <v>203</v>
      </c>
      <c r="B23" s="32" t="n">
        <f aca="false">K5/G5-1</f>
        <v>1.6555333998006</v>
      </c>
    </row>
    <row r="24" customFormat="false" ht="15" hidden="false" customHeight="false" outlineLevel="0" collapsed="false">
      <c r="A24" s="0" t="s">
        <v>204</v>
      </c>
      <c r="B24" s="33" t="n">
        <f aca="false">L5+M5</f>
        <v>2.25</v>
      </c>
      <c r="C24" s="33" t="n">
        <f aca="false">Assumptions!$B$28-Assumptions!$B$22</f>
        <v>2.0836</v>
      </c>
      <c r="D24" s="33" t="n">
        <f aca="false">Assumptions!$B$29-Assumptions!$B$22</f>
        <v>2.3836</v>
      </c>
    </row>
    <row r="26" customFormat="false" ht="15" hidden="false" customHeight="false" outlineLevel="0" collapsed="false">
      <c r="A26" s="12" t="s">
        <v>205</v>
      </c>
    </row>
    <row r="27" customFormat="false" ht="15" hidden="false" customHeight="false" outlineLevel="0" collapsed="false">
      <c r="A27" s="12" t="s">
        <v>206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6" min="2" style="0" width="12"/>
  </cols>
  <sheetData>
    <row r="1" customFormat="false" ht="15" hidden="false" customHeight="false" outlineLevel="0" collapsed="false">
      <c r="A1" s="1" t="s">
        <v>207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208</v>
      </c>
      <c r="C4" s="4" t="s">
        <v>209</v>
      </c>
      <c r="D4" s="4" t="s">
        <v>210</v>
      </c>
      <c r="E4" s="4" t="s">
        <v>211</v>
      </c>
      <c r="F4" s="4" t="s">
        <v>212</v>
      </c>
    </row>
    <row r="5" customFormat="false" ht="15" hidden="false" customHeight="false" outlineLevel="0" collapsed="false">
      <c r="A5" s="5" t="s">
        <v>186</v>
      </c>
      <c r="B5" s="34" t="n">
        <v>1.4739</v>
      </c>
      <c r="C5" s="34" t="n">
        <v>2.024</v>
      </c>
      <c r="D5" s="35" t="n">
        <f aca="false">Assumptions!$B$22+Quarterly!L5+Quarterly!M5</f>
        <v>4.0664</v>
      </c>
      <c r="E5" s="36" t="n">
        <f aca="false">D5*(1+Scenarios!B6)</f>
        <v>6.30292</v>
      </c>
      <c r="F5" s="36" t="n">
        <f aca="false">E5*(1+Scenarios!C6)</f>
        <v>8.6980296</v>
      </c>
    </row>
    <row r="6" customFormat="false" ht="15" hidden="false" customHeight="false" outlineLevel="0" collapsed="false">
      <c r="A6" s="26" t="s">
        <v>213</v>
      </c>
      <c r="B6" s="27"/>
      <c r="C6" s="27" t="n">
        <f aca="false">C5/B5-1</f>
        <v>0.373227491688717</v>
      </c>
      <c r="D6" s="27" t="n">
        <f aca="false">D5/C5-1</f>
        <v>1.00909090909091</v>
      </c>
      <c r="E6" s="27" t="n">
        <f aca="false">E5/D5-1</f>
        <v>0.55</v>
      </c>
      <c r="F6" s="27" t="n">
        <f aca="false">F5/E5-1</f>
        <v>0.38</v>
      </c>
    </row>
    <row r="7" customFormat="false" ht="15" hidden="false" customHeight="false" outlineLevel="0" collapsed="false">
      <c r="A7" s="26" t="s">
        <v>187</v>
      </c>
      <c r="B7" s="34" t="n">
        <v>1.0852</v>
      </c>
      <c r="C7" s="34" t="n">
        <v>1.5313</v>
      </c>
      <c r="D7" s="36" t="n">
        <f aca="false">Quarterly!J6+Quarterly!K6</f>
        <v>1.5887</v>
      </c>
      <c r="E7" s="36"/>
      <c r="F7" s="36"/>
    </row>
    <row r="8" customFormat="false" ht="15" hidden="false" customHeight="false" outlineLevel="0" collapsed="false">
      <c r="A8" s="26" t="s">
        <v>188</v>
      </c>
      <c r="B8" s="34" t="n">
        <v>0.6858</v>
      </c>
      <c r="C8" s="34" t="n">
        <v>0.9928</v>
      </c>
      <c r="D8" s="36" t="n">
        <f aca="false">Quarterly!J7+Quarterly!K7</f>
        <v>1.0232</v>
      </c>
      <c r="E8" s="36"/>
      <c r="F8" s="36"/>
    </row>
    <row r="9" customFormat="false" ht="15" hidden="false" customHeight="false" outlineLevel="0" collapsed="false">
      <c r="A9" s="5" t="s">
        <v>214</v>
      </c>
      <c r="B9" s="27" t="n">
        <f aca="false">(B7-B8)/B7</f>
        <v>0.368042757095466</v>
      </c>
      <c r="C9" s="27" t="n">
        <f aca="false">(C7-C8)/C7</f>
        <v>0.351661986547378</v>
      </c>
      <c r="D9" s="27" t="n">
        <f aca="false">(D7-D8)/D7</f>
        <v>0.3559514068106</v>
      </c>
      <c r="E9" s="27"/>
      <c r="F9" s="27"/>
    </row>
    <row r="10" customFormat="false" ht="15" hidden="false" customHeight="false" outlineLevel="0" collapsed="false">
      <c r="A10" s="26" t="s">
        <v>215</v>
      </c>
      <c r="B10" s="36" t="n">
        <f aca="false">B5*0.287</f>
        <v>0.4230093</v>
      </c>
      <c r="C10" s="36" t="n">
        <f aca="false">C5*0.303</f>
        <v>0.613272</v>
      </c>
      <c r="D10" s="35" t="n">
        <f aca="false">Assumptions!$B$23+Quarterly!L5*Quarterly!L13+Quarterly!M5*Quarterly!M13</f>
        <v>1.37795</v>
      </c>
      <c r="E10" s="36" t="n">
        <f aca="false">E5*Scenarios!D6</f>
        <v>2.206022</v>
      </c>
      <c r="F10" s="36" t="n">
        <f aca="false">F5*Scenarios!E6</f>
        <v>3.087800508</v>
      </c>
    </row>
    <row r="11" customFormat="false" ht="15" hidden="false" customHeight="false" outlineLevel="0" collapsed="false">
      <c r="A11" s="5" t="s">
        <v>216</v>
      </c>
      <c r="B11" s="27" t="n">
        <f aca="false">B10/B5</f>
        <v>0.287</v>
      </c>
      <c r="C11" s="27" t="n">
        <f aca="false">C10/C5</f>
        <v>0.303</v>
      </c>
      <c r="D11" s="27" t="n">
        <f aca="false">D10/D5</f>
        <v>0.33886238441865</v>
      </c>
      <c r="E11" s="27" t="n">
        <f aca="false">E10/E5</f>
        <v>0.35</v>
      </c>
      <c r="F11" s="27" t="n">
        <f aca="false">F10/F5</f>
        <v>0.355</v>
      </c>
    </row>
    <row r="12" customFormat="false" ht="15" hidden="false" customHeight="false" outlineLevel="0" collapsed="false">
      <c r="A12" s="26" t="s">
        <v>217</v>
      </c>
      <c r="B12" s="36" t="n">
        <f aca="false">B10-B13</f>
        <v>0.3154093</v>
      </c>
      <c r="C12" s="36" t="n">
        <f aca="false">C10-C13</f>
        <v>0.392272</v>
      </c>
      <c r="D12" s="35" t="n">
        <f aca="false">Assumptions!$B$24+Assumptions!$B$44+Assumptions!$B$45</f>
        <v>0.5123</v>
      </c>
      <c r="E12" s="36" t="n">
        <f aca="false">Scenarios!F6</f>
        <v>0.62</v>
      </c>
      <c r="F12" s="36" t="n">
        <f aca="false">Scenarios!G6</f>
        <v>0.75</v>
      </c>
    </row>
    <row r="13" customFormat="false" ht="15" hidden="false" customHeight="false" outlineLevel="0" collapsed="false">
      <c r="A13" s="5" t="s">
        <v>218</v>
      </c>
      <c r="B13" s="34" t="n">
        <v>0.1076</v>
      </c>
      <c r="C13" s="34" t="n">
        <v>0.221</v>
      </c>
      <c r="D13" s="36" t="n">
        <f aca="false">D10-D12</f>
        <v>0.86565</v>
      </c>
      <c r="E13" s="36" t="n">
        <f aca="false">E10-E12</f>
        <v>1.586022</v>
      </c>
      <c r="F13" s="36" t="n">
        <f aca="false">F10-F12</f>
        <v>2.337800508</v>
      </c>
    </row>
    <row r="14" customFormat="false" ht="15" hidden="false" customHeight="false" outlineLevel="0" collapsed="false">
      <c r="A14" s="26" t="s">
        <v>219</v>
      </c>
      <c r="B14" s="27" t="n">
        <f aca="false">B13/B5</f>
        <v>0.0730035959020286</v>
      </c>
      <c r="C14" s="27" t="n">
        <f aca="false">C13/C5</f>
        <v>0.109189723320158</v>
      </c>
      <c r="D14" s="27" t="n">
        <f aca="false">D13/D5</f>
        <v>0.212878713358253</v>
      </c>
      <c r="E14" s="27" t="n">
        <f aca="false">E13/E5</f>
        <v>0.25163289396026</v>
      </c>
      <c r="F14" s="27" t="n">
        <f aca="false">F13/F5</f>
        <v>0.268773574649597</v>
      </c>
    </row>
    <row r="15" customFormat="false" ht="15" hidden="false" customHeight="false" outlineLevel="0" collapsed="false">
      <c r="A15" s="26" t="s">
        <v>220</v>
      </c>
      <c r="B15" s="25"/>
      <c r="C15" s="25"/>
      <c r="D15" s="25" t="n">
        <f aca="false">(Assumptions!$B$26-Assumptions!$B$25)+2*Assumptions!$B$46</f>
        <v>0.0329</v>
      </c>
      <c r="E15" s="37" t="n">
        <f aca="false">Assumptions!$B$47</f>
        <v>0.035</v>
      </c>
      <c r="F15" s="37" t="n">
        <f aca="false">Assumptions!$B$47</f>
        <v>0.035</v>
      </c>
    </row>
    <row r="16" customFormat="false" ht="15" hidden="false" customHeight="false" outlineLevel="0" collapsed="false">
      <c r="A16" s="26" t="s">
        <v>221</v>
      </c>
      <c r="B16" s="38"/>
      <c r="C16" s="38"/>
      <c r="D16" s="39" t="n">
        <f aca="false">Assumptions!$B$48</f>
        <v>0.01</v>
      </c>
      <c r="E16" s="39" t="n">
        <f aca="false">Assumptions!$B$49</f>
        <v>0.1</v>
      </c>
      <c r="F16" s="39" t="n">
        <f aca="false">Assumptions!$B$50</f>
        <v>0.15</v>
      </c>
    </row>
    <row r="17" customFormat="false" ht="15" hidden="false" customHeight="false" outlineLevel="0" collapsed="false">
      <c r="A17" s="5" t="s">
        <v>222</v>
      </c>
      <c r="B17" s="25"/>
      <c r="C17" s="25"/>
      <c r="D17" s="37" t="n">
        <f aca="false">Assumptions!$B$26+(Quarterly!L14+Assumptions!$B$46)*(1-D16)+(Quarterly!M14+Assumptions!$B$46)*(1-D16)</f>
        <v>0.8934275</v>
      </c>
      <c r="E17" s="25" t="n">
        <f aca="false">(E13+E15)*(1-E16)</f>
        <v>1.4589198</v>
      </c>
      <c r="F17" s="25" t="n">
        <f aca="false">(F13+F15)*(1-F16)</f>
        <v>2.0168804318</v>
      </c>
    </row>
    <row r="18" customFormat="false" ht="15" hidden="false" customHeight="false" outlineLevel="0" collapsed="false">
      <c r="A18" s="26" t="s">
        <v>158</v>
      </c>
      <c r="B18" s="25"/>
      <c r="C18" s="25"/>
      <c r="D18" s="25" t="n">
        <f aca="false">Dilution!$B$13</f>
        <v>0.3246655550945</v>
      </c>
      <c r="E18" s="25" t="n">
        <f aca="false">D18*(1+Assumptions!$B$51)</f>
        <v>0.329535538420917</v>
      </c>
      <c r="F18" s="25" t="n">
        <f aca="false">E18*(1+Assumptions!$B$51)</f>
        <v>0.334478571497231</v>
      </c>
    </row>
    <row r="19" customFormat="false" ht="15" hidden="false" customHeight="false" outlineLevel="0" collapsed="false">
      <c r="A19" s="5" t="s">
        <v>223</v>
      </c>
      <c r="B19" s="29" t="n">
        <v>0.28</v>
      </c>
      <c r="C19" s="29" t="n">
        <v>0.76</v>
      </c>
      <c r="D19" s="9" t="n">
        <f aca="false">Assumptions!$B$27+Quarterly!L15+Quarterly!M15</f>
        <v>2.78199970105357</v>
      </c>
      <c r="E19" s="30" t="n">
        <f aca="false">E17/E18</f>
        <v>4.42720019513196</v>
      </c>
      <c r="F19" s="30" t="n">
        <f aca="false">F17/F18</f>
        <v>6.02992419745101</v>
      </c>
    </row>
    <row r="20" customFormat="false" ht="15" hidden="false" customHeight="false" outlineLevel="0" collapsed="false">
      <c r="A20" s="26" t="s">
        <v>224</v>
      </c>
      <c r="B20" s="27"/>
      <c r="C20" s="27" t="n">
        <f aca="false">C19/B19-1</f>
        <v>1.71428571428571</v>
      </c>
      <c r="D20" s="27" t="n">
        <f aca="false">D19/C19-1</f>
        <v>2.66052592243891</v>
      </c>
      <c r="E20" s="27" t="n">
        <f aca="false">E19/D19-1</f>
        <v>0.591373354014141</v>
      </c>
      <c r="F20" s="27" t="n">
        <f aca="false">F19/E19-1</f>
        <v>0.362017512576315</v>
      </c>
    </row>
    <row r="21" customFormat="false" ht="15" hidden="false" customHeight="false" outlineLevel="0" collapsed="false">
      <c r="A21" s="26" t="s">
        <v>225</v>
      </c>
      <c r="B21" s="40" t="n">
        <f aca="false">Assumptions!$B$7/B19</f>
        <v>1023.75</v>
      </c>
      <c r="C21" s="40" t="n">
        <f aca="false">Assumptions!$B$7/C19</f>
        <v>377.171052631579</v>
      </c>
      <c r="D21" s="40" t="n">
        <f aca="false">Assumptions!$B$7/D19</f>
        <v>103.037394249699</v>
      </c>
      <c r="E21" s="40" t="n">
        <f aca="false">Assumptions!$B$7/E19</f>
        <v>64.7474673305249</v>
      </c>
      <c r="F21" s="40" t="n">
        <f aca="false">Assumptions!$B$7/F19</f>
        <v>47.537911027335</v>
      </c>
    </row>
    <row r="22" customFormat="false" ht="15" hidden="false" customHeight="false" outlineLevel="0" collapsed="false">
      <c r="A22" s="26" t="s">
        <v>226</v>
      </c>
      <c r="B22" s="30"/>
      <c r="C22" s="30"/>
      <c r="D22" s="9" t="n">
        <f aca="false">Assumptions!$B$15</f>
        <v>2.71</v>
      </c>
      <c r="E22" s="9" t="n">
        <f aca="false">Assumptions!$B$16</f>
        <v>4.33</v>
      </c>
      <c r="F22" s="9" t="n">
        <f aca="false">Assumptions!$B$17</f>
        <v>7</v>
      </c>
    </row>
    <row r="23" customFormat="false" ht="15" hidden="false" customHeight="false" outlineLevel="0" collapsed="false">
      <c r="A23" s="26" t="s">
        <v>227</v>
      </c>
      <c r="B23" s="27"/>
      <c r="C23" s="27"/>
      <c r="D23" s="27" t="n">
        <f aca="false">D19/D22-1</f>
        <v>0.0265681553703205</v>
      </c>
      <c r="E23" s="27" t="n">
        <f aca="false">E19/E22-1</f>
        <v>0.022448082016618</v>
      </c>
      <c r="F23" s="27" t="n">
        <f aca="false">F19/F22-1</f>
        <v>-0.138582257506999</v>
      </c>
    </row>
    <row r="24" customFormat="false" ht="15" hidden="false" customHeight="false" outlineLevel="0" collapsed="false">
      <c r="A24" s="26" t="s">
        <v>228</v>
      </c>
      <c r="B24" s="36"/>
      <c r="C24" s="36"/>
      <c r="D24" s="36" t="n">
        <f aca="false">D5*Capacity!$B$7/Capacity!$B$6</f>
        <v>1.20841132075472</v>
      </c>
      <c r="E24" s="36" t="n">
        <f aca="false">E5*Capacity!$B$7/Capacity!$B$6</f>
        <v>1.87303754716981</v>
      </c>
      <c r="F24" s="36" t="n">
        <f aca="false">F5*Capacity!$B$7/Capacity!$B$6</f>
        <v>2.58479181509434</v>
      </c>
    </row>
    <row r="26" customFormat="false" ht="15" hidden="false" customHeight="false" outlineLevel="0" collapsed="false">
      <c r="A26" s="12" t="s">
        <v>229</v>
      </c>
    </row>
    <row r="27" customFormat="false" ht="15" hidden="false" customHeight="false" outlineLevel="0" collapsed="false">
      <c r="A27" s="12" t="s">
        <v>230</v>
      </c>
    </row>
    <row r="28" customFormat="false" ht="15" hidden="false" customHeight="false" outlineLevel="0" collapsed="false">
      <c r="A28" s="12" t="s">
        <v>231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16" min="2" style="0" width="11"/>
  </cols>
  <sheetData>
    <row r="1" customFormat="false" ht="15" hidden="false" customHeight="false" outlineLevel="0" collapsed="false">
      <c r="A1" s="1" t="s">
        <v>232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233</v>
      </c>
      <c r="B4" s="4" t="s">
        <v>234</v>
      </c>
      <c r="C4" s="4" t="s">
        <v>235</v>
      </c>
      <c r="D4" s="4" t="s">
        <v>236</v>
      </c>
      <c r="E4" s="4" t="s">
        <v>237</v>
      </c>
      <c r="F4" s="4" t="s">
        <v>238</v>
      </c>
      <c r="G4" s="4" t="s">
        <v>239</v>
      </c>
      <c r="H4" s="4" t="s">
        <v>240</v>
      </c>
      <c r="I4" s="4" t="s">
        <v>241</v>
      </c>
      <c r="J4" s="4" t="s">
        <v>242</v>
      </c>
      <c r="K4" s="4" t="s">
        <v>243</v>
      </c>
      <c r="L4" s="4" t="s">
        <v>244</v>
      </c>
      <c r="M4" s="4" t="s">
        <v>245</v>
      </c>
      <c r="N4" s="4" t="s">
        <v>246</v>
      </c>
      <c r="O4" s="4" t="s">
        <v>247</v>
      </c>
      <c r="P4" s="4" t="s">
        <v>248</v>
      </c>
    </row>
    <row r="5" customFormat="false" ht="15" hidden="false" customHeight="false" outlineLevel="0" collapsed="false">
      <c r="A5" s="5" t="s">
        <v>249</v>
      </c>
      <c r="B5" s="16" t="n">
        <v>0.3</v>
      </c>
      <c r="C5" s="16" t="n">
        <v>0.12</v>
      </c>
      <c r="D5" s="16" t="n">
        <v>0.33</v>
      </c>
      <c r="E5" s="16" t="n">
        <v>0.32</v>
      </c>
      <c r="F5" s="41" t="n">
        <v>0.58</v>
      </c>
      <c r="G5" s="41" t="n">
        <v>0.62</v>
      </c>
      <c r="H5" s="33" t="n">
        <f aca="false">Financials!$D$5*(1+B5)</f>
        <v>5.28632</v>
      </c>
      <c r="I5" s="33" t="n">
        <f aca="false">H5*(1+C5)</f>
        <v>5.9206784</v>
      </c>
      <c r="J5" s="33" t="n">
        <f aca="false">I5*E5-G5</f>
        <v>1.274617088</v>
      </c>
      <c r="K5" s="18" t="n">
        <f aca="false">(J5+Assumptions!$B$47)*(1-Assumptions!$B$50)</f>
        <v>1.1131745248</v>
      </c>
      <c r="L5" s="21" t="n">
        <f aca="false">K5/Financials!$F$18</f>
        <v>3.32808921007131</v>
      </c>
      <c r="M5" s="17" t="n">
        <v>25</v>
      </c>
      <c r="N5" s="21" t="n">
        <f aca="false">L5*M5</f>
        <v>83.2022302517828</v>
      </c>
      <c r="O5" s="32" t="n">
        <f aca="false">N5/Assumptions!$B$7-1</f>
        <v>-0.709742786492996</v>
      </c>
      <c r="P5" s="33" t="n">
        <f aca="false">I5*Capacity!$B$7/Capacity!$B$6</f>
        <v>1.75944688301887</v>
      </c>
    </row>
    <row r="6" customFormat="false" ht="15" hidden="false" customHeight="false" outlineLevel="0" collapsed="false">
      <c r="A6" s="5" t="s">
        <v>250</v>
      </c>
      <c r="B6" s="16" t="n">
        <v>0.55</v>
      </c>
      <c r="C6" s="16" t="n">
        <v>0.38</v>
      </c>
      <c r="D6" s="16" t="n">
        <v>0.35</v>
      </c>
      <c r="E6" s="16" t="n">
        <v>0.355</v>
      </c>
      <c r="F6" s="41" t="n">
        <v>0.62</v>
      </c>
      <c r="G6" s="41" t="n">
        <v>0.75</v>
      </c>
      <c r="H6" s="33" t="n">
        <f aca="false">Financials!$D$5*(1+B6)</f>
        <v>6.30292</v>
      </c>
      <c r="I6" s="33" t="n">
        <f aca="false">H6*(1+C6)</f>
        <v>8.6980296</v>
      </c>
      <c r="J6" s="33" t="n">
        <f aca="false">I6*E6-G6</f>
        <v>2.337800508</v>
      </c>
      <c r="K6" s="18" t="n">
        <f aca="false">(J6+Assumptions!$B$47)*(1-Assumptions!$B$50)</f>
        <v>2.0168804318</v>
      </c>
      <c r="L6" s="21" t="n">
        <f aca="false">K6/Financials!$F$18</f>
        <v>6.02992419745101</v>
      </c>
      <c r="M6" s="42" t="n">
        <f aca="false">Assumptions!$B$53</f>
        <v>40</v>
      </c>
      <c r="N6" s="21" t="n">
        <f aca="false">L6*M6</f>
        <v>241.19696789804</v>
      </c>
      <c r="O6" s="32" t="n">
        <f aca="false">N6/Assumptions!$B$7-1</f>
        <v>-0.158566307699144</v>
      </c>
      <c r="P6" s="33" t="n">
        <f aca="false">I6*Capacity!$B$7/Capacity!$B$6</f>
        <v>2.58479181509434</v>
      </c>
    </row>
    <row r="7" customFormat="false" ht="15" hidden="false" customHeight="false" outlineLevel="0" collapsed="false">
      <c r="A7" s="5" t="s">
        <v>251</v>
      </c>
      <c r="B7" s="16" t="n">
        <v>0.7</v>
      </c>
      <c r="C7" s="16" t="n">
        <v>0.5</v>
      </c>
      <c r="D7" s="16" t="n">
        <v>0.365</v>
      </c>
      <c r="E7" s="16" t="n">
        <v>0.375</v>
      </c>
      <c r="F7" s="41" t="n">
        <v>0.66</v>
      </c>
      <c r="G7" s="41" t="n">
        <v>0.82</v>
      </c>
      <c r="H7" s="33" t="n">
        <f aca="false">Financials!$D$5*(1+B7)</f>
        <v>6.91288</v>
      </c>
      <c r="I7" s="33" t="n">
        <f aca="false">H7*(1+C7)</f>
        <v>10.36932</v>
      </c>
      <c r="J7" s="33" t="n">
        <f aca="false">I7*E7-G7</f>
        <v>3.068495</v>
      </c>
      <c r="K7" s="18" t="n">
        <f aca="false">(J7+Assumptions!$B$47)*(1-Assumptions!$B$50)</f>
        <v>2.63797075</v>
      </c>
      <c r="L7" s="21" t="n">
        <f aca="false">K7/Financials!$F$18</f>
        <v>7.88681540402309</v>
      </c>
      <c r="M7" s="17" t="n">
        <v>50</v>
      </c>
      <c r="N7" s="21" t="n">
        <f aca="false">L7*M7</f>
        <v>394.340770201154</v>
      </c>
      <c r="O7" s="32" t="n">
        <f aca="false">N7/Assumptions!$B$7-1</f>
        <v>0.375687319731918</v>
      </c>
      <c r="P7" s="33" t="n">
        <f aca="false">I7*Capacity!$B$7/Capacity!$B$6</f>
        <v>3.08144886792453</v>
      </c>
    </row>
    <row r="9" customFormat="false" ht="15" hidden="false" customHeight="false" outlineLevel="0" collapsed="false">
      <c r="B9" s="5" t="s">
        <v>249</v>
      </c>
      <c r="C9" s="5" t="s">
        <v>250</v>
      </c>
      <c r="D9" s="5" t="s">
        <v>251</v>
      </c>
    </row>
    <row r="10" customFormat="false" ht="15" hidden="false" customHeight="false" outlineLevel="0" collapsed="false">
      <c r="A10" s="5" t="s">
        <v>252</v>
      </c>
      <c r="B10" s="43" t="n">
        <v>0.25</v>
      </c>
      <c r="C10" s="43" t="n">
        <v>0.5</v>
      </c>
      <c r="D10" s="43" t="n">
        <v>0.25</v>
      </c>
      <c r="E10" s="32" t="n">
        <f aca="false">SUM(B10:D10)</f>
        <v>1</v>
      </c>
      <c r="F10" s="12" t="s">
        <v>253</v>
      </c>
    </row>
    <row r="12" customFormat="false" ht="15" hidden="false" customHeight="false" outlineLevel="0" collapsed="false">
      <c r="A12" s="5" t="s">
        <v>15</v>
      </c>
      <c r="N12" s="44" t="n">
        <f aca="false">B10*N5+C10*N6+D10*N7</f>
        <v>239.984234062254</v>
      </c>
      <c r="O12" s="20" t="n">
        <f aca="false">N12/Assumptions!$B$7-1</f>
        <v>-0.162797020539842</v>
      </c>
    </row>
    <row r="14" customFormat="false" ht="15" hidden="false" customHeight="false" outlineLevel="0" collapsed="false">
      <c r="A14" s="12" t="s">
        <v>254</v>
      </c>
    </row>
    <row r="15" customFormat="false" ht="15" hidden="false" customHeight="false" outlineLevel="0" collapsed="false">
      <c r="A15" s="12" t="s">
        <v>255</v>
      </c>
    </row>
    <row r="16" customFormat="false" ht="15" hidden="false" customHeight="false" outlineLevel="0" collapsed="false">
      <c r="A16" s="12" t="s">
        <v>256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257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143</v>
      </c>
      <c r="B4" s="4" t="s">
        <v>3</v>
      </c>
      <c r="C4" s="4" t="s">
        <v>144</v>
      </c>
    </row>
    <row r="5" customFormat="false" ht="15" hidden="false" customHeight="false" outlineLevel="0" collapsed="false">
      <c r="A5" s="0" t="s">
        <v>258</v>
      </c>
      <c r="B5" s="33" t="n">
        <f aca="false">Assumptions!$B$36</f>
        <v>2.65</v>
      </c>
      <c r="C5" s="7" t="s">
        <v>259</v>
      </c>
    </row>
    <row r="6" customFormat="false" ht="23.85" hidden="false" customHeight="false" outlineLevel="0" collapsed="false">
      <c r="A6" s="0" t="s">
        <v>260</v>
      </c>
      <c r="B6" s="33" t="n">
        <f aca="false">Assumptions!$B$36/Assumptions!$B$37</f>
        <v>2.94444444444444</v>
      </c>
      <c r="C6" s="7" t="s">
        <v>261</v>
      </c>
    </row>
    <row r="7" customFormat="false" ht="15" hidden="false" customHeight="false" outlineLevel="0" collapsed="false">
      <c r="A7" s="0" t="s">
        <v>262</v>
      </c>
      <c r="B7" s="20" t="n">
        <f aca="false">Assumptions!$B$52</f>
        <v>0.875</v>
      </c>
      <c r="C7" s="7" t="s">
        <v>263</v>
      </c>
    </row>
    <row r="8" customFormat="false" ht="15" hidden="false" customHeight="false" outlineLevel="0" collapsed="false">
      <c r="A8" s="0" t="s">
        <v>264</v>
      </c>
      <c r="B8" s="33" t="n">
        <f aca="false">Financials!D24</f>
        <v>1.20841132075472</v>
      </c>
      <c r="C8" s="7"/>
    </row>
    <row r="9" customFormat="false" ht="15" hidden="false" customHeight="false" outlineLevel="0" collapsed="false">
      <c r="A9" s="0" t="s">
        <v>265</v>
      </c>
      <c r="B9" s="33" t="n">
        <f aca="false">Financials!E24</f>
        <v>1.87303754716981</v>
      </c>
      <c r="C9" s="7"/>
    </row>
    <row r="10" customFormat="false" ht="15" hidden="false" customHeight="false" outlineLevel="0" collapsed="false">
      <c r="A10" s="0" t="s">
        <v>266</v>
      </c>
      <c r="B10" s="33" t="n">
        <f aca="false">Financials!F24</f>
        <v>2.58479181509434</v>
      </c>
      <c r="C10" s="7"/>
    </row>
    <row r="11" customFormat="false" ht="15" hidden="false" customHeight="false" outlineLevel="0" collapsed="false">
      <c r="A11" s="0" t="s">
        <v>267</v>
      </c>
      <c r="B11" s="45" t="n">
        <f aca="false">Assumptions!$B$38</f>
        <v>2</v>
      </c>
      <c r="C11" s="7" t="s">
        <v>268</v>
      </c>
    </row>
    <row r="12" customFormat="false" ht="15" hidden="false" customHeight="false" outlineLevel="0" collapsed="false">
      <c r="A12" s="0" t="s">
        <v>269</v>
      </c>
      <c r="B12" s="33" t="n">
        <f aca="false">B11*B6/B7</f>
        <v>6.73015873015873</v>
      </c>
      <c r="C12" s="7"/>
    </row>
    <row r="13" customFormat="false" ht="15" hidden="false" customHeight="false" outlineLevel="0" collapsed="false">
      <c r="A13" s="0" t="s">
        <v>270</v>
      </c>
      <c r="B13" s="33" t="n">
        <f aca="false">Valuation!B29</f>
        <v>2.95909935702894</v>
      </c>
      <c r="C13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271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143</v>
      </c>
      <c r="B4" s="4" t="s">
        <v>3</v>
      </c>
      <c r="C4" s="4" t="s">
        <v>144</v>
      </c>
    </row>
    <row r="5" customFormat="false" ht="15" hidden="false" customHeight="false" outlineLevel="0" collapsed="false">
      <c r="A5" s="0" t="s">
        <v>272</v>
      </c>
      <c r="B5" s="21" t="n">
        <f aca="false">Financials!F19</f>
        <v>6.02992419745101</v>
      </c>
      <c r="C5" s="7" t="s">
        <v>273</v>
      </c>
    </row>
    <row r="6" customFormat="false" ht="15" hidden="false" customHeight="false" outlineLevel="0" collapsed="false">
      <c r="A6" s="0" t="s">
        <v>274</v>
      </c>
      <c r="B6" s="46" t="n">
        <f aca="false">Assumptions!$B$53</f>
        <v>40</v>
      </c>
      <c r="C6" s="7" t="s">
        <v>275</v>
      </c>
    </row>
    <row r="7" customFormat="false" ht="15" hidden="false" customHeight="false" outlineLevel="0" collapsed="false">
      <c r="A7" s="5" t="s">
        <v>276</v>
      </c>
      <c r="B7" s="44" t="n">
        <f aca="false">B5*B6</f>
        <v>241.19696789804</v>
      </c>
      <c r="C7" s="7" t="s">
        <v>277</v>
      </c>
    </row>
    <row r="8" customFormat="false" ht="15" hidden="false" customHeight="false" outlineLevel="0" collapsed="false">
      <c r="A8" s="0" t="s">
        <v>10</v>
      </c>
      <c r="B8" s="21" t="n">
        <f aca="false">Assumptions!$B$7</f>
        <v>286.65</v>
      </c>
      <c r="C8" s="7" t="s">
        <v>11</v>
      </c>
    </row>
    <row r="9" customFormat="false" ht="15" hidden="false" customHeight="false" outlineLevel="0" collapsed="false">
      <c r="A9" s="0" t="s">
        <v>14</v>
      </c>
      <c r="B9" s="20" t="n">
        <f aca="false">B7/B8-1</f>
        <v>-0.158566307699144</v>
      </c>
      <c r="C9" s="7"/>
    </row>
    <row r="10" customFormat="false" ht="15" hidden="false" customHeight="false" outlineLevel="0" collapsed="false">
      <c r="A10" s="0" t="s">
        <v>15</v>
      </c>
      <c r="B10" s="21" t="n">
        <f aca="false">Scenarios!N12</f>
        <v>239.984234062254</v>
      </c>
      <c r="C10" s="7" t="s">
        <v>278</v>
      </c>
    </row>
    <row r="11" customFormat="false" ht="15" hidden="false" customHeight="false" outlineLevel="0" collapsed="false">
      <c r="A11" s="0" t="s">
        <v>279</v>
      </c>
      <c r="B11" s="0" t="str">
        <f aca="false">IF(B9&gt;0.15,"LONG",IF(B9&lt;-0.15,"SHORT","NO CALL"))</f>
        <v>SHORT</v>
      </c>
      <c r="C11" s="7" t="s">
        <v>280</v>
      </c>
    </row>
    <row r="12" customFormat="false" ht="23.85" hidden="false" customHeight="false" outlineLevel="0" collapsed="false">
      <c r="A12" s="5" t="s">
        <v>281</v>
      </c>
      <c r="B12" s="47" t="s">
        <v>282</v>
      </c>
      <c r="C12" s="7" t="s">
        <v>283</v>
      </c>
    </row>
    <row r="13" customFormat="false" ht="15" hidden="false" customHeight="false" outlineLevel="0" collapsed="false">
      <c r="A13" s="0" t="s">
        <v>284</v>
      </c>
      <c r="B13" s="45" t="n">
        <f aca="false">Assumptions!$B$7*Assumptions!$B$11</f>
        <v>84.42616455</v>
      </c>
      <c r="C13" s="7"/>
    </row>
    <row r="14" customFormat="false" ht="15" hidden="false" customHeight="false" outlineLevel="0" collapsed="false">
      <c r="A14" s="0" t="s">
        <v>285</v>
      </c>
      <c r="B14" s="18" t="n">
        <f aca="false">Assumptions!$B$12-Assumptions!$B$13</f>
        <v>0.137</v>
      </c>
      <c r="C14" s="7" t="s">
        <v>286</v>
      </c>
    </row>
    <row r="15" customFormat="false" ht="15" hidden="false" customHeight="false" outlineLevel="0" collapsed="false">
      <c r="A15" s="0" t="s">
        <v>287</v>
      </c>
      <c r="B15" s="45" t="n">
        <f aca="false">B13-B14</f>
        <v>84.28916455</v>
      </c>
      <c r="C15" s="7"/>
    </row>
    <row r="16" customFormat="false" ht="15" hidden="false" customHeight="false" outlineLevel="0" collapsed="false">
      <c r="A16" s="0" t="s">
        <v>288</v>
      </c>
      <c r="B16" s="32" t="n">
        <f aca="false">Assumptions!$B$7/Assumptions!$B$10-1</f>
        <v>2.29899873403153</v>
      </c>
      <c r="C16" s="7"/>
    </row>
    <row r="17" customFormat="false" ht="15" hidden="false" customHeight="false" outlineLevel="0" collapsed="false">
      <c r="A17" s="0" t="s">
        <v>289</v>
      </c>
      <c r="B17" s="20" t="n">
        <f aca="false">1-Assumptions!$B$7/Assumptions!$B$9</f>
        <v>0.17117247361573</v>
      </c>
      <c r="C17" s="7"/>
    </row>
    <row r="18" customFormat="false" ht="15" hidden="false" customHeight="false" outlineLevel="0" collapsed="false">
      <c r="A18" s="0" t="s">
        <v>290</v>
      </c>
      <c r="B18" s="48" t="n">
        <f aca="false">Financials!D21</f>
        <v>103.037394249699</v>
      </c>
      <c r="C18" s="7"/>
    </row>
    <row r="19" customFormat="false" ht="15" hidden="false" customHeight="false" outlineLevel="0" collapsed="false">
      <c r="A19" s="0" t="s">
        <v>291</v>
      </c>
      <c r="B19" s="48" t="n">
        <f aca="false">Financials!E21</f>
        <v>64.7474673305249</v>
      </c>
      <c r="C19" s="7"/>
    </row>
    <row r="20" customFormat="false" ht="15" hidden="false" customHeight="false" outlineLevel="0" collapsed="false">
      <c r="A20" s="0" t="s">
        <v>292</v>
      </c>
      <c r="B20" s="48" t="n">
        <f aca="false">Financials!F21</f>
        <v>47.537911027335</v>
      </c>
      <c r="C20" s="7"/>
    </row>
    <row r="21" customFormat="false" ht="15" hidden="false" customHeight="false" outlineLevel="0" collapsed="false">
      <c r="A21" s="0" t="s">
        <v>293</v>
      </c>
      <c r="B21" s="48" t="n">
        <f aca="false">Assumptions!$B$7/((Assumptions!$B$30+Assumptions!$B$31)/2)</f>
        <v>106.166666666667</v>
      </c>
      <c r="C21" s="7"/>
    </row>
    <row r="22" customFormat="false" ht="15" hidden="false" customHeight="false" outlineLevel="0" collapsed="false">
      <c r="A22" s="0" t="s">
        <v>294</v>
      </c>
      <c r="B22" s="48" t="n">
        <f aca="false">Assumptions!$B$7/Assumptions!$B$17</f>
        <v>40.95</v>
      </c>
      <c r="C22" s="7" t="s">
        <v>77</v>
      </c>
    </row>
    <row r="23" customFormat="false" ht="15" hidden="false" customHeight="false" outlineLevel="0" collapsed="false">
      <c r="A23" s="0" t="s">
        <v>295</v>
      </c>
      <c r="B23" s="48" t="n">
        <f aca="false">Assumptions!$B$7/Quarterly!B20</f>
        <v>157.5</v>
      </c>
      <c r="C23" s="7"/>
    </row>
    <row r="24" customFormat="false" ht="15" hidden="false" customHeight="false" outlineLevel="0" collapsed="false">
      <c r="C24" s="7"/>
    </row>
    <row r="25" customFormat="false" ht="15" hidden="false" customHeight="false" outlineLevel="0" collapsed="false">
      <c r="A25" s="0" t="s">
        <v>296</v>
      </c>
      <c r="B25" s="21" t="n">
        <f aca="false">Assumptions!$B$7/Assumptions!$B$53</f>
        <v>7.16625</v>
      </c>
      <c r="C25" s="7" t="s">
        <v>297</v>
      </c>
    </row>
    <row r="26" customFormat="false" ht="15" hidden="false" customHeight="false" outlineLevel="0" collapsed="false">
      <c r="A26" s="0" t="s">
        <v>298</v>
      </c>
      <c r="B26" s="33" t="n">
        <f aca="false">B25*Financials!F18/(1-Assumptions!$B$50)-Assumptions!$B$47</f>
        <v>2.78494948587298</v>
      </c>
      <c r="C26" s="7"/>
    </row>
    <row r="27" customFormat="false" ht="15" hidden="false" customHeight="false" outlineLevel="0" collapsed="false">
      <c r="A27" s="0" t="s">
        <v>299</v>
      </c>
      <c r="B27" s="33" t="n">
        <f aca="false">(B26+Scenarios!G6)/Scenarios!E6</f>
        <v>9.95760418555769</v>
      </c>
      <c r="C27" s="7" t="s">
        <v>300</v>
      </c>
    </row>
    <row r="28" customFormat="false" ht="15" hidden="false" customHeight="false" outlineLevel="0" collapsed="false">
      <c r="A28" s="0" t="s">
        <v>301</v>
      </c>
      <c r="B28" s="31" t="n">
        <f aca="false">B27/Financials!F5</f>
        <v>1.14481148529981</v>
      </c>
      <c r="C28" s="7"/>
    </row>
    <row r="29" customFormat="false" ht="15" hidden="false" customHeight="false" outlineLevel="0" collapsed="false">
      <c r="A29" s="0" t="s">
        <v>302</v>
      </c>
      <c r="B29" s="33" t="n">
        <f aca="false">B27*Capacity!B7/Capacity!B6</f>
        <v>2.95909935702894</v>
      </c>
      <c r="C29" s="7" t="s">
        <v>303</v>
      </c>
    </row>
    <row r="30" customFormat="false" ht="15" hidden="false" customHeight="false" outlineLevel="0" collapsed="false">
      <c r="A30" s="0" t="s">
        <v>304</v>
      </c>
      <c r="B30" s="21" t="n">
        <f aca="false">B7/1.15</f>
        <v>209.736493824383</v>
      </c>
      <c r="C30" s="7"/>
    </row>
    <row r="31" customFormat="false" ht="15" hidden="false" customHeight="false" outlineLevel="0" collapsed="false">
      <c r="A31" s="0" t="s">
        <v>305</v>
      </c>
      <c r="B31" s="21" t="n">
        <f aca="false">B7/0.75</f>
        <v>321.595957197387</v>
      </c>
      <c r="C31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306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307</v>
      </c>
      <c r="B4" s="49" t="n">
        <v>30</v>
      </c>
      <c r="C4" s="49" t="n">
        <f aca="false">Assumptions!$B$53</f>
        <v>40</v>
      </c>
      <c r="D4" s="49" t="n">
        <v>50</v>
      </c>
    </row>
    <row r="5" customFormat="false" ht="15" hidden="false" customHeight="false" outlineLevel="0" collapsed="false">
      <c r="A5" s="50" t="n">
        <v>4.5</v>
      </c>
      <c r="B5" s="51" t="n">
        <f aca="false">$A5*B$4</f>
        <v>135</v>
      </c>
      <c r="C5" s="51" t="n">
        <f aca="false">$A5*C$4</f>
        <v>180</v>
      </c>
      <c r="D5" s="51" t="n">
        <f aca="false">$A5*D$4</f>
        <v>225</v>
      </c>
    </row>
    <row r="6" customFormat="false" ht="15" hidden="false" customHeight="false" outlineLevel="0" collapsed="false">
      <c r="A6" s="52" t="n">
        <f aca="false">Financials!F19</f>
        <v>6.02992419745101</v>
      </c>
      <c r="B6" s="51" t="n">
        <f aca="false">$A6*B$4</f>
        <v>180.89772592353</v>
      </c>
      <c r="C6" s="53" t="n">
        <f aca="false">$A6*C$4</f>
        <v>241.19696789804</v>
      </c>
      <c r="D6" s="51" t="n">
        <f aca="false">$A6*D$4</f>
        <v>301.49620987255</v>
      </c>
    </row>
    <row r="7" customFormat="false" ht="15" hidden="false" customHeight="false" outlineLevel="0" collapsed="false">
      <c r="A7" s="50" t="n">
        <v>7.5</v>
      </c>
      <c r="B7" s="51" t="n">
        <f aca="false">$A7*B$4</f>
        <v>225</v>
      </c>
      <c r="C7" s="51" t="n">
        <f aca="false">$A7*C$4</f>
        <v>300</v>
      </c>
      <c r="D7" s="51" t="n">
        <f aca="false">$A7*D$4</f>
        <v>375</v>
      </c>
    </row>
    <row r="9" customFormat="false" ht="15" hidden="false" customHeight="false" outlineLevel="0" collapsed="false">
      <c r="A9" s="5" t="s">
        <v>308</v>
      </c>
      <c r="B9" s="0" t="n">
        <f aca="false">COUNTIF(B5:D7,"&gt;"&amp;Assumptions!$B$7)</f>
        <v>3</v>
      </c>
      <c r="C9" s="0" t="s">
        <v>309</v>
      </c>
    </row>
    <row r="11" customFormat="false" ht="15" hidden="false" customHeight="false" outlineLevel="0" collapsed="false">
      <c r="A11" s="12" t="s">
        <v>310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311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312</v>
      </c>
      <c r="B4" s="4" t="s">
        <v>313</v>
      </c>
      <c r="C4" s="4" t="s">
        <v>314</v>
      </c>
      <c r="D4" s="4" t="s">
        <v>315</v>
      </c>
    </row>
    <row r="5" customFormat="false" ht="15" hidden="false" customHeight="false" outlineLevel="0" collapsed="false">
      <c r="A5" s="5" t="s">
        <v>316</v>
      </c>
      <c r="B5" s="0" t="s">
        <v>317</v>
      </c>
      <c r="C5" s="54" t="n">
        <f aca="false">Assumptions!$B$19</f>
        <v>83.47</v>
      </c>
      <c r="D5" s="7" t="s">
        <v>318</v>
      </c>
    </row>
    <row r="6" customFormat="false" ht="15" hidden="false" customHeight="false" outlineLevel="0" collapsed="false">
      <c r="A6" s="26" t="s">
        <v>319</v>
      </c>
      <c r="B6" s="0" t="s">
        <v>320</v>
      </c>
      <c r="C6" s="55" t="n">
        <v>47.34</v>
      </c>
      <c r="D6" s="7" t="s">
        <v>321</v>
      </c>
    </row>
    <row r="7" customFormat="false" ht="15" hidden="false" customHeight="false" outlineLevel="0" collapsed="false">
      <c r="A7" s="26" t="s">
        <v>322</v>
      </c>
      <c r="B7" s="0" t="s">
        <v>323</v>
      </c>
      <c r="C7" s="55" t="n">
        <v>31.93</v>
      </c>
      <c r="D7" s="7" t="s">
        <v>324</v>
      </c>
    </row>
    <row r="8" customFormat="false" ht="15" hidden="false" customHeight="false" outlineLevel="0" collapsed="false">
      <c r="A8" s="26" t="s">
        <v>325</v>
      </c>
      <c r="B8" s="0" t="s">
        <v>326</v>
      </c>
      <c r="C8" s="55" t="n">
        <v>29.42</v>
      </c>
      <c r="D8" s="7" t="s">
        <v>327</v>
      </c>
    </row>
    <row r="9" customFormat="false" ht="15" hidden="false" customHeight="false" outlineLevel="0" collapsed="false">
      <c r="A9" s="26" t="s">
        <v>328</v>
      </c>
      <c r="B9" s="0" t="s">
        <v>329</v>
      </c>
      <c r="C9" s="55" t="n">
        <v>24.48</v>
      </c>
      <c r="D9" s="7" t="s">
        <v>321</v>
      </c>
    </row>
    <row r="10" customFormat="false" ht="15" hidden="false" customHeight="false" outlineLevel="0" collapsed="false">
      <c r="A10" s="26" t="s">
        <v>330</v>
      </c>
      <c r="B10" s="0" t="s">
        <v>331</v>
      </c>
      <c r="C10" s="55" t="n">
        <v>15.94</v>
      </c>
      <c r="D10" s="7" t="s">
        <v>332</v>
      </c>
    </row>
    <row r="11" customFormat="false" ht="15" hidden="false" customHeight="false" outlineLevel="0" collapsed="false">
      <c r="A11" s="26" t="s">
        <v>333</v>
      </c>
      <c r="B11" s="0" t="s">
        <v>334</v>
      </c>
      <c r="C11" s="55" t="s">
        <v>335</v>
      </c>
      <c r="D11" s="7" t="s">
        <v>336</v>
      </c>
    </row>
    <row r="13" customFormat="false" ht="15" hidden="false" customHeight="false" outlineLevel="0" collapsed="false">
      <c r="A13" s="0" t="s">
        <v>337</v>
      </c>
      <c r="C13" s="48" t="n">
        <f aca="false">MEDIAN(C6:C10)</f>
        <v>29.42</v>
      </c>
    </row>
    <row r="15" customFormat="false" ht="15" hidden="false" customHeight="false" outlineLevel="0" collapsed="false">
      <c r="A15" s="12" t="s">
        <v>338</v>
      </c>
    </row>
    <row r="16" customFormat="false" ht="15" hidden="false" customHeight="false" outlineLevel="0" collapsed="false">
      <c r="A16" s="12" t="s">
        <v>339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340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341</v>
      </c>
      <c r="B4" s="4" t="s">
        <v>342</v>
      </c>
    </row>
    <row r="5" customFormat="false" ht="23.85" hidden="false" customHeight="false" outlineLevel="0" collapsed="false">
      <c r="A5" s="0" t="n">
        <v>1</v>
      </c>
      <c r="B5" s="7" t="s">
        <v>343</v>
      </c>
    </row>
    <row r="6" customFormat="false" ht="23.85" hidden="false" customHeight="false" outlineLevel="0" collapsed="false">
      <c r="A6" s="0" t="n">
        <v>2</v>
      </c>
      <c r="B6" s="7" t="s">
        <v>344</v>
      </c>
    </row>
    <row r="7" customFormat="false" ht="23.85" hidden="false" customHeight="false" outlineLevel="0" collapsed="false">
      <c r="A7" s="0" t="n">
        <v>3</v>
      </c>
      <c r="B7" s="7" t="s">
        <v>345</v>
      </c>
    </row>
    <row r="8" customFormat="false" ht="23.85" hidden="false" customHeight="false" outlineLevel="0" collapsed="false">
      <c r="A8" s="0" t="n">
        <v>4</v>
      </c>
      <c r="B8" s="7" t="s">
        <v>346</v>
      </c>
    </row>
    <row r="9" customFormat="false" ht="15" hidden="false" customHeight="false" outlineLevel="0" collapsed="false">
      <c r="A9" s="0" t="n">
        <v>5</v>
      </c>
      <c r="B9" s="7" t="s">
        <v>347</v>
      </c>
    </row>
    <row r="10" customFormat="false" ht="15" hidden="false" customHeight="false" outlineLevel="0" collapsed="false">
      <c r="A10" s="0" t="n">
        <v>6</v>
      </c>
      <c r="B10" s="7" t="s">
        <v>348</v>
      </c>
    </row>
    <row r="11" customFormat="false" ht="23.85" hidden="false" customHeight="false" outlineLevel="0" collapsed="false">
      <c r="A11" s="0" t="n">
        <v>7</v>
      </c>
      <c r="B11" s="7" t="s">
        <v>349</v>
      </c>
    </row>
    <row r="12" customFormat="false" ht="23.85" hidden="false" customHeight="false" outlineLevel="0" collapsed="false">
      <c r="A12" s="0" t="n">
        <v>8</v>
      </c>
      <c r="B12" s="7" t="s">
        <v>350</v>
      </c>
    </row>
    <row r="13" customFormat="false" ht="15" hidden="false" customHeight="false" outlineLevel="0" collapsed="false">
      <c r="A13" s="0" t="n">
        <v>9</v>
      </c>
      <c r="B13" s="7" t="s">
        <v>351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2026-10-06T13:47:21Z</dcterms:created>
  <dc:creator>openpyxl</dc:creator>
  <dc:description/>
  <dc:language>en-GB</dc:language>
  <cp:lastModifiedBy/>
  <dcterms:modified xsi:type="dcterms:W3CDTF">2026-10-06T13:47:21Z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